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jpeg" ContentType="image/jpeg"/>
  <Default Extension="JPG" ContentType="image/.jp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10.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958" firstSheet="2" activeTab="3"/>
  </bookViews>
  <sheets>
    <sheet name="封面" sheetId="1" r:id="rId1"/>
    <sheet name="目录" sheetId="2" r:id="rId2"/>
    <sheet name="资产负债表" sheetId="3" r:id="rId3"/>
    <sheet name="结构比" sheetId="4" r:id="rId4"/>
    <sheet name="利润表" sheetId="5" r:id="rId5"/>
    <sheet name="资产负债表分析" sheetId="6" r:id="rId6"/>
    <sheet name="表外数据录入" sheetId="7" r:id="rId7"/>
    <sheet name="现金流量表" sheetId="8" r:id="rId8"/>
    <sheet name="所有者权益变动表" sheetId="9" r:id="rId9"/>
    <sheet name="财务比率分析" sheetId="10" r:id="rId10"/>
    <sheet name="税负监控" sheetId="11" r:id="rId11"/>
    <sheet name="老杜邦" sheetId="12" state="hidden" r:id="rId12"/>
    <sheet name="老杜邦率" sheetId="13" r:id="rId13"/>
    <sheet name="新杜邦" sheetId="21" r:id="rId14"/>
    <sheet name="收支对比" sheetId="14" r:id="rId15"/>
    <sheet name="收支分析" sheetId="15" r:id="rId16"/>
    <sheet name="财务预警" sheetId="16" r:id="rId17"/>
    <sheet name="管理用资负表" sheetId="17" r:id="rId18"/>
    <sheet name="管理用利润表" sheetId="18" r:id="rId19"/>
    <sheet name="管理用现流表" sheetId="19" r:id="rId20"/>
    <sheet name="管理比率" sheetId="20" r:id="rId21"/>
    <sheet name="预测负债表" sheetId="22" r:id="rId22"/>
    <sheet name="预测利润表" sheetId="23" r:id="rId23"/>
    <sheet name="行业绩效标准" sheetId="24" r:id="rId24"/>
    <sheet name="贷款额度" sheetId="25" r:id="rId25"/>
    <sheet name="投资决策" sheetId="26" r:id="rId26"/>
    <sheet name="更新决策" sheetId="27" r:id="rId27"/>
    <sheet name="财务计划" sheetId="28" r:id="rId28"/>
    <sheet name="EOQ模型" sheetId="29" r:id="rId29"/>
    <sheet name="租赁模型" sheetId="30" r:id="rId30"/>
    <sheet name="按揭模型" sheetId="31" r:id="rId31"/>
    <sheet name="敏感分析" sheetId="32" r:id="rId32"/>
    <sheet name="租赁筹资基本模型" sheetId="33" r:id="rId33"/>
    <sheet name="按揭测算模型" sheetId="34" r:id="rId34"/>
    <sheet name="利润敏感性分析模型" sheetId="35" r:id="rId35"/>
    <sheet name="企业安全率模型" sheetId="36" r:id="rId36"/>
    <sheet name="2019年新版个税计算器" sheetId="37" r:id="rId37"/>
    <sheet name="时间序列预测分析" sheetId="38" r:id="rId38"/>
    <sheet name="现金预算" sheetId="39" r:id="rId39"/>
    <sheet name="应收账款账龄分析表" sheetId="40" r:id="rId40"/>
    <sheet name="战略计划矩阵" sheetId="41" r:id="rId41"/>
    <sheet name="自制和外购决策" sheetId="42" r:id="rId42"/>
    <sheet name="企业价值评估" sheetId="43" r:id="rId43"/>
    <sheet name="比重绩效评分模型" sheetId="44" r:id="rId44"/>
    <sheet name="总生产成本分析表" sheetId="45" r:id="rId45"/>
    <sheet name="总生产成本年度比较表" sheetId="46" r:id="rId46"/>
    <sheet name="生产成本汇总表" sheetId="47" r:id="rId47"/>
    <sheet name="A产品成本分析表" sheetId="48" r:id="rId48"/>
    <sheet name="B产品成本分析表" sheetId="49" r:id="rId49"/>
    <sheet name="C产品成本分析表" sheetId="50" r:id="rId50"/>
    <sheet name="D产品成本分析表" sheetId="51" r:id="rId51"/>
    <sheet name="E产品成本分析表" sheetId="52" r:id="rId52"/>
    <sheet name="F产品成本分析表" sheetId="53" r:id="rId53"/>
    <sheet name="G产品成本分析表" sheetId="54" r:id="rId54"/>
    <sheet name="其他产品成本表" sheetId="55" r:id="rId55"/>
    <sheet name="主要产品单位成本分析表" sheetId="56" r:id="rId56"/>
  </sheets>
  <externalReferences>
    <externalReference r:id="rId57"/>
    <externalReference r:id="rId58"/>
  </externalReferences>
  <definedNames>
    <definedName name="_xlnm.Print_Area" localSheetId="6">表外数据录入!$A$1:$E$77</definedName>
    <definedName name="_xlnm.Print_Area" localSheetId="10">税负监控!$A$1:$G$1</definedName>
    <definedName name="税负预警" localSheetId="10">税负监控!$R$1:$R$16</definedName>
  </definedNames>
  <calcPr calcId="144525" concurrentCalc="0"/>
</workbook>
</file>

<file path=xl/comments1.xml><?xml version="1.0" encoding="utf-8"?>
<comments xmlns="http://schemas.openxmlformats.org/spreadsheetml/2006/main">
  <authors>
    <author>LJG</author>
    <author>Think</author>
  </authors>
  <commentList>
    <comment ref="C6" authorId="0">
      <text>
        <r>
          <rPr>
            <sz val="9"/>
            <rFont val="宋体"/>
            <charset val="134"/>
          </rPr>
          <t>LJG:
增加收入比率变动性结构比。</t>
        </r>
      </text>
    </comment>
    <comment ref="C7" authorId="0">
      <text>
        <r>
          <rPr>
            <sz val="9"/>
            <rFont val="宋体"/>
            <charset val="134"/>
          </rPr>
          <t>LJG:
表外数据必须录入方可根据两大主表快编新准则现金流量表。</t>
        </r>
      </text>
    </comment>
    <comment ref="C11" authorId="0">
      <text>
        <r>
          <rPr>
            <sz val="9"/>
            <rFont val="宋体"/>
            <charset val="134"/>
          </rPr>
          <t>LJG:
按钮选择行业平均税负值：增值税税负值20个；所得税税负值49个。</t>
        </r>
      </text>
    </comment>
    <comment ref="C24" authorId="0">
      <text>
        <r>
          <rPr>
            <sz val="9"/>
            <rFont val="宋体"/>
            <charset val="134"/>
          </rPr>
          <t>LJG:
各个行业绩效评价标准均值参考表，利于公司横向指标对比，找出差距。</t>
        </r>
      </text>
    </comment>
    <comment ref="B25" authorId="0">
      <text>
        <r>
          <rPr>
            <sz val="9"/>
            <rFont val="宋体"/>
            <charset val="134"/>
          </rPr>
          <t>LJG:
增加银行报表基本提示要求：5大能力12个指标。
增加如何做好财务管理5条内容。</t>
        </r>
      </text>
    </comment>
    <comment ref="C25" authorId="0">
      <text>
        <r>
          <rPr>
            <sz val="9"/>
            <rFont val="宋体"/>
            <charset val="134"/>
          </rPr>
          <t>LJG:
含营运资金需求量计算。</t>
        </r>
      </text>
    </comment>
    <comment ref="B38" authorId="1">
      <text>
        <r>
          <rPr>
            <sz val="9"/>
            <rFont val="宋体"/>
            <charset val="134"/>
          </rPr>
          <t>LJG:
含回归分析和季节指数。</t>
        </r>
      </text>
    </comment>
  </commentList>
</comments>
</file>

<file path=xl/comments10.xml><?xml version="1.0" encoding="utf-8"?>
<comments xmlns="http://schemas.openxmlformats.org/spreadsheetml/2006/main">
  <authors>
    <author>LJG</author>
    <author>Think</author>
  </authors>
  <commentList>
    <comment ref="A1" authorId="0">
      <text>
        <r>
          <rPr>
            <sz val="9"/>
            <rFont val="宋体"/>
            <charset val="134"/>
          </rPr>
          <t>LJG:
杜邦体系，是利用各主要财务比率之间的内在联系，对企业财务状况和经营成果进行综合系统评价的方法。该体系是以权益净利率为龙头，以资产净利率和权益乘数为分支，重点揭示企业获利能力及杠杆水平对权益净利率的影响，以及各相关指标间的相互作用关系。
局限性：1、总资产净利率的总资产与净利润不匹配，应修正为净利润/（有息负债+股东权益）；2、没区分经营活动损益和金融活动损益；3、没区分金融负债与经营负债，利息与金融负债相除才是真正的平均利息率，金融负债与股东权益相除才是真正的财务杠杆。</t>
        </r>
      </text>
    </comment>
    <comment ref="Q4" authorId="1">
      <text>
        <r>
          <rPr>
            <sz val="9"/>
            <rFont val="宋体"/>
            <charset val="134"/>
          </rPr>
          <t>LJG:
股利支付率=每股股利÷每股净收益×100%=股利总额÷净利润总额
股利支付率+留存收益率=1</t>
        </r>
      </text>
    </comment>
    <comment ref="V4" authorId="1">
      <text>
        <r>
          <rPr>
            <sz val="9"/>
            <rFont val="宋体"/>
            <charset val="134"/>
          </rPr>
          <t>LJG:
帕利普财务分析体系：帕利普财务分析体系是美国哈佛大学教授帕利普(Palepu)对杜邦财务分析体系进行了变形、补充而发展起来的。帕利普将财务分析体系中的常用的财务比率一般被分为四大类：偿债能力比率、盈利比率、资产管理效率比率、现金流量比率。帕利普财务分析的原理是将某一个要分析的指标层层展开，这样便可探究财务指标发生变化的根本原因。
可持续增长率——统一财务比率：从长远看企业的价值取决于企业的盈利和增长能力。这两项能力又取决于其产品市场战略和资本市场战略；而产品市场战略包括企业的经营战略和投资战略，资本市场战略又包括融资战略和股利政策。财务分析的目的就是评价企业在经营管理、投资管理、融资战略和股利政策四个领域的管理效果。可持续增长率是企业在保持利润能力和财务政策不变的情况下能够达到的增长比率，它取决于净资产收益率和股利政策。因此，可持续增长率将企业的各种财务比率统一起来，以评估企业的增长战略是否可持续。</t>
        </r>
      </text>
    </comment>
  </commentList>
</comments>
</file>

<file path=xl/comments11.xml><?xml version="1.0" encoding="utf-8"?>
<comments xmlns="http://schemas.openxmlformats.org/spreadsheetml/2006/main">
  <authors>
    <author>LJG</author>
  </authors>
  <commentList>
    <comment ref="A4" authorId="0">
      <text>
        <r>
          <rPr>
            <sz val="9"/>
            <rFont val="宋体"/>
            <charset val="134"/>
          </rPr>
          <t>LJG:
经营资产是指销售商品或提供劳务所涉及的资产。</t>
        </r>
      </text>
    </comment>
    <comment ref="D4" authorId="0">
      <text>
        <r>
          <rPr>
            <sz val="9"/>
            <rFont val="宋体"/>
            <charset val="134"/>
          </rPr>
          <t>LJG:
金融负债是债务筹资活动所涉及的负债。</t>
        </r>
      </text>
    </comment>
    <comment ref="A6" authorId="0">
      <text>
        <r>
          <rPr>
            <sz val="9"/>
            <rFont val="宋体"/>
            <charset val="134"/>
          </rPr>
          <t>LJG:
根据行业或公司历史平均的货币资金/销售收入百分比以及本期销售收入，推算经营活动所需要的货币资金数额，多余部分列为金融资产。也可采用将全部货币资金列为经营性资产，理由是公司应当用多余的货币资金购买有价证券。本表采用前种办法。</t>
        </r>
      </text>
    </comment>
    <comment ref="A7" authorId="0">
      <text>
        <r>
          <rPr>
            <sz val="9"/>
            <rFont val="宋体"/>
            <charset val="134"/>
          </rPr>
          <t>LJG:
即无息的应收票据。</t>
        </r>
      </text>
    </comment>
    <comment ref="D7" authorId="0">
      <text>
        <r>
          <rPr>
            <sz val="9"/>
            <rFont val="宋体"/>
            <charset val="134"/>
          </rPr>
          <t>LJG:
指以市场利率计息的融资活动形成的带息应付票据。</t>
        </r>
      </text>
    </comment>
    <comment ref="D8" authorId="0">
      <text>
        <r>
          <rPr>
            <sz val="9"/>
            <rFont val="宋体"/>
            <charset val="134"/>
          </rPr>
          <t>LJG:
指债务筹资的应计费用，属于金融负债。</t>
        </r>
      </text>
    </comment>
    <comment ref="D9" authorId="0">
      <text>
        <r>
          <rPr>
            <sz val="9"/>
            <rFont val="宋体"/>
            <charset val="134"/>
          </rPr>
          <t>LJG:
从普通股股东角度来看，优先股应属于金融负债。</t>
        </r>
      </text>
    </comment>
    <comment ref="A10" authorId="0">
      <text>
        <r>
          <rPr>
            <sz val="9"/>
            <rFont val="宋体"/>
            <charset val="134"/>
          </rPr>
          <t>LJG:
经营性权益投资形成的应收股利，如长期股权投资的应收股利。</t>
        </r>
      </text>
    </comment>
    <comment ref="D10" authorId="0">
      <text>
        <r>
          <rPr>
            <sz val="9"/>
            <rFont val="宋体"/>
            <charset val="134"/>
          </rPr>
          <t>LJG:
由于优先股被列为金融负债，则应付优先股股利就是债务筹资的应计费用，应列为金融负债。</t>
        </r>
      </text>
    </comment>
    <comment ref="A14" authorId="0">
      <text>
        <r>
          <rPr>
            <sz val="9"/>
            <rFont val="宋体"/>
            <charset val="134"/>
          </rPr>
          <t>LJG:
在通用财务报表中，有时会出现“其他资产”项目，其具体内容需要查阅报表附注或其他披露信息，如果查不到结果，通常将其列为经营资产。</t>
        </r>
      </text>
    </comment>
    <comment ref="D14" authorId="0">
      <text>
        <r>
          <rPr>
            <sz val="9"/>
            <rFont val="宋体"/>
            <charset val="134"/>
          </rPr>
          <t>LJG:
指融资租赁引起的长期应付款。</t>
        </r>
      </text>
    </comment>
    <comment ref="D16" authorId="0">
      <text>
        <r>
          <rPr>
            <sz val="9"/>
            <rFont val="宋体"/>
            <charset val="134"/>
          </rPr>
          <t>LJG:
金融资产是利用经营活动多余资金进行投资所涉及的资产。</t>
        </r>
      </text>
    </comment>
    <comment ref="A17" authorId="0">
      <text>
        <r>
          <rPr>
            <sz val="9"/>
            <rFont val="宋体"/>
            <charset val="134"/>
          </rPr>
          <t>LJG:
指无息应付票据。</t>
        </r>
      </text>
    </comment>
    <comment ref="D17" authorId="0">
      <text>
        <r>
          <rPr>
            <sz val="9"/>
            <rFont val="宋体"/>
            <charset val="134"/>
          </rPr>
          <t>LJG:
货币资金总额扣除经营性的即为金融性的货币资金。</t>
        </r>
      </text>
    </comment>
    <comment ref="D18" authorId="0">
      <text>
        <r>
          <rPr>
            <sz val="9"/>
            <rFont val="宋体"/>
            <charset val="134"/>
          </rPr>
          <t>LJG:
指非生产经营活动所需要的资产，而是暂时利用多余现金投资的短期权益性投资。</t>
        </r>
      </text>
    </comment>
    <comment ref="D19" authorId="0">
      <text>
        <r>
          <rPr>
            <sz val="9"/>
            <rFont val="宋体"/>
            <charset val="134"/>
          </rPr>
          <t>LJG:
指以市场利率计息的带息应收票据。</t>
        </r>
      </text>
    </comment>
    <comment ref="D20" authorId="0">
      <text>
        <r>
          <rPr>
            <sz val="9"/>
            <rFont val="宋体"/>
            <charset val="134"/>
          </rPr>
          <t>LJG:
是短期权益性投资形成的应收股利，如金融资产中的应收股利。</t>
        </r>
      </text>
    </comment>
    <comment ref="D21" authorId="0">
      <text>
        <r>
          <rPr>
            <sz val="9"/>
            <rFont val="宋体"/>
            <charset val="134"/>
          </rPr>
          <t>LJG:
来源于债权性投资，所产生的利息应当属于金融损益。</t>
        </r>
      </text>
    </comment>
    <comment ref="A22" authorId="0">
      <text>
        <r>
          <rPr>
            <sz val="9"/>
            <rFont val="宋体"/>
            <charset val="134"/>
          </rPr>
          <t>LJG:
由于普通股不是负债，则应付普通股股利也就不是债务筹资的应计费用，应列为经营负债。</t>
        </r>
      </text>
    </comment>
    <comment ref="D23" authorId="0">
      <text>
        <r>
          <rPr>
            <sz val="9"/>
            <rFont val="宋体"/>
            <charset val="134"/>
          </rPr>
          <t>LJG:
对于非金融企业，债券和其他带息的债务投资都是金融性资产。</t>
        </r>
      </text>
    </comment>
    <comment ref="A24" authorId="0">
      <text>
        <r>
          <rPr>
            <sz val="9"/>
            <rFont val="宋体"/>
            <charset val="134"/>
          </rPr>
          <t>LJG:
在通用财务报表中，有时会出现“其他负债”项目，其具体内容需要查阅 报表附注或其他披露信息，如果查不到结果，通常将其列为经营负债。</t>
        </r>
      </text>
    </comment>
    <comment ref="A28" authorId="0">
      <text>
        <r>
          <rPr>
            <sz val="9"/>
            <rFont val="宋体"/>
            <charset val="134"/>
          </rPr>
          <t>LJG:
是对其他企业经营活动的投资，购买行为虽然可能包含了部分金融资产，但难以区分，因此，无论控股比例如何均将其列为经营性资产。</t>
        </r>
      </text>
    </comment>
    <comment ref="A39" authorId="0">
      <text>
        <r>
          <rPr>
            <sz val="9"/>
            <rFont val="宋体"/>
            <charset val="134"/>
          </rPr>
          <t>LJG:
递延税项源自应税利润和会计报告利润的差额，该差额几乎都是经营收益在计算时形成的。递延所得税资产的产生是因为应税利润大于会计报告利润，应列为经营资产。</t>
        </r>
      </text>
    </comment>
    <comment ref="A40" authorId="0">
      <text>
        <r>
          <rPr>
            <sz val="9"/>
            <rFont val="宋体"/>
            <charset val="134"/>
          </rPr>
          <t>LJG:
在通用财务报表中，有时会出现“其他资产”项目，其具体内容需要查阅报表附注或其他披露信息，如果查不到结果，通常将其列为经营资产。</t>
        </r>
      </text>
    </comment>
    <comment ref="A43" authorId="0">
      <text>
        <r>
          <rPr>
            <sz val="9"/>
            <rFont val="宋体"/>
            <charset val="134"/>
          </rPr>
          <t>LJG:
除融资租赁外经营活动引起的长期应付款。</t>
        </r>
      </text>
    </comment>
    <comment ref="A46" authorId="0">
      <text>
        <r>
          <rPr>
            <sz val="9"/>
            <rFont val="宋体"/>
            <charset val="134"/>
          </rPr>
          <t>LJG:
递延税项源自应税利润和会计报告利润的差额，该差额几乎都是经营收益在计算时形成的。递延所得税负债的产生是因为应税利润小于会计报告利润，应列为经营负债。</t>
        </r>
      </text>
    </comment>
    <comment ref="A47" authorId="0">
      <text>
        <r>
          <rPr>
            <sz val="9"/>
            <rFont val="宋体"/>
            <charset val="134"/>
          </rPr>
          <t>LJG:
在通用财务报表中，有时会出现“其他负债”项目，其具体内容需要查阅 报表附注或其他披露信息，如果查不到结果，通常将其列为经营负债。</t>
        </r>
      </text>
    </comment>
  </commentList>
</comments>
</file>

<file path=xl/comments12.xml><?xml version="1.0" encoding="utf-8"?>
<comments xmlns="http://schemas.openxmlformats.org/spreadsheetml/2006/main">
  <authors>
    <author>Think</author>
    <author>LJG</author>
  </authors>
  <commentList>
    <comment ref="A1" authorId="0">
      <text>
        <r>
          <rPr>
            <sz val="9"/>
            <rFont val="宋体"/>
            <charset val="134"/>
          </rPr>
          <t>LJG:
经营活动的利润反映管理者的经营业绩，通过经营活动取得盈利是企业的目的，也是增加股东财富的基本途径。
金融活动的目的是筹集资金，筹集资金的目的是投资生产经营，而不是投资金融市场获利。
利用投资的剩余部分返回到资本市场上取得金融收益，不是企业的经营目标。</t>
        </r>
      </text>
    </comment>
    <comment ref="A5" authorId="1">
      <text>
        <r>
          <rPr>
            <sz val="9"/>
            <rFont val="宋体"/>
            <charset val="134"/>
          </rPr>
          <t>LJG:
包括主营业务收入和其他业务收入。</t>
        </r>
      </text>
    </comment>
    <comment ref="A6" authorId="1">
      <text>
        <r>
          <rPr>
            <sz val="9"/>
            <rFont val="宋体"/>
            <charset val="134"/>
          </rPr>
          <t>LJG:
包括主营业务成本和其他业务成本。</t>
        </r>
      </text>
    </comment>
    <comment ref="A8" authorId="1">
      <text>
        <r>
          <rPr>
            <sz val="9"/>
            <rFont val="宋体"/>
            <charset val="134"/>
          </rPr>
          <t>LJG:
不含增值税价外税的价内税。</t>
        </r>
      </text>
    </comment>
    <comment ref="A11" authorId="1">
      <text>
        <r>
          <rPr>
            <sz val="9"/>
            <rFont val="宋体"/>
            <charset val="134"/>
          </rPr>
          <t>LJG:
主要指发生的现金折扣或收到的现金折扣等。另有一部分利息费用已经被资本化计入相关固定资产成本，甚至已经计入折旧费用，作为经营费用抵减收入。对其进行追溯调整十分困难，通常忽略不计。</t>
        </r>
      </text>
    </comment>
    <comment ref="A12" authorId="1">
      <text>
        <r>
          <rPr>
            <sz val="9"/>
            <rFont val="宋体"/>
            <charset val="134"/>
          </rPr>
          <t>LJG:
指经营资产形成的减值损失。其数据可从报表附注“资产减值损失”中获得。</t>
        </r>
      </text>
    </comment>
    <comment ref="A13" authorId="1">
      <text>
        <r>
          <rPr>
            <sz val="9"/>
            <rFont val="宋体"/>
            <charset val="134"/>
          </rPr>
          <t>LJG:
公允资产变动收益包括交易性金融资产、交易性金融负债和直接指定的其变动计入当期损益的金融资产和金融负债，以及采用公允价值计量的投资性房地产、衍生工具、套期保值业务等公允价值变动形成的因计入当期损益的利得或损失。该项目属于经营资产变动形成的损益，应计入经营资产，之外的计入金融损益。其数据来自报表附注。</t>
        </r>
      </text>
    </comment>
    <comment ref="A14" authorId="1">
      <text>
        <r>
          <rPr>
            <sz val="9"/>
            <rFont val="宋体"/>
            <charset val="134"/>
          </rPr>
          <t>LJG:
指经营资产形成的投资收益。其数据可从报表附注“产生投资收益的来源”中获得。</t>
        </r>
      </text>
    </comment>
    <comment ref="A22" authorId="1">
      <text>
        <r>
          <rPr>
            <sz val="9"/>
            <rFont val="宋体"/>
            <charset val="134"/>
          </rPr>
          <t>LJG:
此处利息费用金额为金融活动的财务费用与公允价值变动收益及投资收益抵消后的结果，即金融活动利息费用=财务费用+资产减值损失±公允价值变动损益±投资收益。为简化核算，也可把“财务费用”全部作为金融损益来处理。</t>
        </r>
      </text>
    </comment>
    <comment ref="A26" authorId="1">
      <text>
        <r>
          <rPr>
            <sz val="9"/>
            <rFont val="宋体"/>
            <charset val="134"/>
          </rPr>
          <t>LJG:
指通用利润表的所得税费用与利润总额的比率。分摊的简便方法是根据企业实际负担的平均所得税税率计算各自应分摊的所得税；严格方法是分别根据适用税率计算应负担的所得税（各种债权和债务的适用税率不一定相同，例如国债收益免税等）。本表采用简便方法处理，可用利润表的所得税费用比利润总额简便计算。</t>
        </r>
      </text>
    </comment>
  </commentList>
</comments>
</file>

<file path=xl/comments13.xml><?xml version="1.0" encoding="utf-8"?>
<comments xmlns="http://schemas.openxmlformats.org/spreadsheetml/2006/main">
  <authors>
    <author>LJG</author>
  </authors>
  <commentList>
    <comment ref="A4" authorId="0">
      <text>
        <r>
          <rPr>
            <sz val="9"/>
            <rFont val="宋体"/>
            <charset val="134"/>
          </rPr>
          <t>LJG:
经营现金流量是指企业因销售商品或提供劳务等营业活动以及与此有关的生产性资产投资活动产生的现金流量。</t>
        </r>
      </text>
    </comment>
    <comment ref="A6" authorId="0">
      <text>
        <r>
          <rPr>
            <sz val="9"/>
            <rFont val="宋体"/>
            <charset val="134"/>
          </rPr>
          <t>LJG:
指固定资产折旧、无形资产摊销和长期待摊费用摊销等。</t>
        </r>
      </text>
    </comment>
    <comment ref="B6" authorId="0">
      <text>
        <r>
          <rPr>
            <sz val="9"/>
            <rFont val="宋体"/>
            <charset val="134"/>
          </rPr>
          <t>LJG:
根据本年标准现金流量表补充资料的固定资产折旧、无形资产摊销和长期待摊费用摊销行次填写。</t>
        </r>
      </text>
    </comment>
    <comment ref="C6" authorId="0">
      <text>
        <r>
          <rPr>
            <sz val="9"/>
            <rFont val="宋体"/>
            <charset val="134"/>
          </rPr>
          <t>LJG:
根据上年标准现金流量表补充资料的固定资产折旧、无形资产摊销和长期待摊费用摊销行次填写。</t>
        </r>
      </text>
    </comment>
    <comment ref="A7" authorId="0">
      <text>
        <r>
          <rPr>
            <sz val="9"/>
            <rFont val="宋体"/>
            <charset val="134"/>
          </rPr>
          <t>LJG:
营业现金毛流量也经常简称为营业现金流量。</t>
        </r>
      </text>
    </comment>
    <comment ref="C8" authorId="0">
      <text>
        <r>
          <rPr>
            <sz val="9"/>
            <rFont val="宋体"/>
            <charset val="134"/>
          </rPr>
          <t>LJG:
=上年年末余额-上年年初余额</t>
        </r>
      </text>
    </comment>
    <comment ref="C10" authorId="0">
      <text>
        <r>
          <rPr>
            <sz val="9"/>
            <rFont val="宋体"/>
            <charset val="134"/>
          </rPr>
          <t>LJG:
=上年年末余额-上年年初余额</t>
        </r>
      </text>
    </comment>
    <comment ref="A11" authorId="0">
      <text>
        <r>
          <rPr>
            <sz val="9"/>
            <rFont val="宋体"/>
            <charset val="134"/>
          </rPr>
          <t>LJG:
指固定资产折旧、无形资产摊销和长期待摊费用摊销等。</t>
        </r>
      </text>
    </comment>
    <comment ref="A12" authorId="0">
      <text>
        <r>
          <rPr>
            <sz val="9"/>
            <rFont val="宋体"/>
            <charset val="134"/>
          </rPr>
          <t>LJG:
经转化，实体现金流量=税后经营净利润-净经营资产净投资。</t>
        </r>
      </text>
    </comment>
    <comment ref="A13" authorId="0">
      <text>
        <r>
          <rPr>
            <sz val="9"/>
            <rFont val="宋体"/>
            <charset val="134"/>
          </rPr>
          <t>LJG:
金融活动现金流量是指企业因筹资活动和金融市场投资活动而产生的现金流量。</t>
        </r>
      </text>
    </comment>
    <comment ref="C15" authorId="0">
      <text>
        <r>
          <rPr>
            <sz val="9"/>
            <rFont val="宋体"/>
            <charset val="134"/>
          </rPr>
          <t>LJG:
=上年年末余额-上年年初余额</t>
        </r>
      </text>
    </comment>
    <comment ref="B17" authorId="0">
      <text>
        <r>
          <rPr>
            <sz val="9"/>
            <rFont val="宋体"/>
            <charset val="134"/>
          </rPr>
          <t>LJG:
根据本年标准股东权益变动表中的对股东的分配栏填列。</t>
        </r>
      </text>
    </comment>
    <comment ref="C17" authorId="0">
      <text>
        <r>
          <rPr>
            <sz val="9"/>
            <rFont val="宋体"/>
            <charset val="134"/>
          </rPr>
          <t>LJG:
根据上年标准股东权益变动表中的对股东的分配栏填列。</t>
        </r>
      </text>
    </comment>
    <comment ref="B18" authorId="0">
      <text>
        <r>
          <rPr>
            <sz val="9"/>
            <rFont val="宋体"/>
            <charset val="134"/>
          </rPr>
          <t>LJG:
根据本年标准股东权益变动表中的股东投入和减少资本栏填列。</t>
        </r>
      </text>
    </comment>
    <comment ref="C18" authorId="0">
      <text>
        <r>
          <rPr>
            <sz val="9"/>
            <rFont val="宋体"/>
            <charset val="134"/>
          </rPr>
          <t>LJG:
根据上年标准股东权益变动表中的股东投入和减少资本栏填列。</t>
        </r>
      </text>
    </comment>
  </commentList>
</comments>
</file>

<file path=xl/comments14.xml><?xml version="1.0" encoding="utf-8"?>
<comments xmlns="http://schemas.openxmlformats.org/spreadsheetml/2006/main">
  <authors>
    <author>LJG</author>
  </authors>
  <commentList>
    <comment ref="A6" authorId="0">
      <text>
        <r>
          <rPr>
            <sz val="9"/>
            <rFont val="宋体"/>
            <charset val="134"/>
          </rPr>
          <t>LJG:
从增加股东报酬来看，净经营资产净利率是企业可以承担的借款税后利息率的上限。</t>
        </r>
      </text>
    </comment>
    <comment ref="A8" authorId="0">
      <text>
        <r>
          <rPr>
            <sz val="9"/>
            <rFont val="宋体"/>
            <charset val="134"/>
          </rPr>
          <t>LJG:
由于税后利息率的高低主要由资本市场决定的，因此，提高经营差异率的根本途径是提高净经营资产净利率。</t>
        </r>
      </text>
    </comment>
    <comment ref="A9" authorId="0">
      <text>
        <r>
          <rPr>
            <sz val="9"/>
            <rFont val="宋体"/>
            <charset val="134"/>
          </rPr>
          <t>LJG:
依靠提高净财务杠杆来增加杠杆贡献率是有限度的。</t>
        </r>
      </text>
    </comment>
  </commentList>
</comments>
</file>

<file path=xl/comments15.xml><?xml version="1.0" encoding="utf-8"?>
<comments xmlns="http://schemas.openxmlformats.org/spreadsheetml/2006/main">
  <authors>
    <author>LJG</author>
    <author>Think</author>
  </authors>
  <commentList>
    <comment ref="A1" authorId="0">
      <text>
        <r>
          <rPr>
            <sz val="9"/>
            <rFont val="宋体"/>
            <charset val="134"/>
          </rPr>
          <t>LJG:
本表采用的是销售百分比法，比较简单、粗略。首先，该方法假设各项经营资产和经营负债与销售收入保持稳定的百分比，可能与事实不符；其次，该方法假设计划销售净利率可以涵盖借款利息的增加，也不一定合理。</t>
        </r>
      </text>
    </comment>
    <comment ref="A6" authorId="0">
      <text>
        <r>
          <rPr>
            <sz val="9"/>
            <rFont val="宋体"/>
            <charset val="134"/>
          </rPr>
          <t>LJG:
根据行业或公司历史平均的货币资金/销售收入百分比以及本期销售收入，推算经营活动所需要的货币资金数额，多余部分列为金融资产。也可采用将全部货币资金列为经营性资产，理由是公司应当用多余的货币资金购买有价证券。本表采用前种办法。</t>
        </r>
      </text>
    </comment>
    <comment ref="A7" authorId="0">
      <text>
        <r>
          <rPr>
            <sz val="9"/>
            <rFont val="宋体"/>
            <charset val="134"/>
          </rPr>
          <t>LJG:
即无息的应收票据。</t>
        </r>
      </text>
    </comment>
    <comment ref="D7" authorId="0">
      <text>
        <r>
          <rPr>
            <sz val="9"/>
            <rFont val="宋体"/>
            <charset val="134"/>
          </rPr>
          <t>LJG:
指以市场利率计息的融资活动形成的带息应付票据。</t>
        </r>
      </text>
    </comment>
    <comment ref="D8" authorId="0">
      <text>
        <r>
          <rPr>
            <sz val="9"/>
            <rFont val="宋体"/>
            <charset val="134"/>
          </rPr>
          <t>LJG:
指债务筹资的应计费用，属于金融负债。</t>
        </r>
      </text>
    </comment>
    <comment ref="D9" authorId="0">
      <text>
        <r>
          <rPr>
            <sz val="9"/>
            <rFont val="宋体"/>
            <charset val="134"/>
          </rPr>
          <t>LJG:
从普通股股东角度来看，优先股应属于金融负债。</t>
        </r>
      </text>
    </comment>
    <comment ref="A10" authorId="0">
      <text>
        <r>
          <rPr>
            <sz val="9"/>
            <rFont val="宋体"/>
            <charset val="134"/>
          </rPr>
          <t>LJG:
经营性权益投资形成的应收股利，如长期股权投资的应收股利。</t>
        </r>
      </text>
    </comment>
    <comment ref="D10" authorId="0">
      <text>
        <r>
          <rPr>
            <sz val="9"/>
            <rFont val="宋体"/>
            <charset val="134"/>
          </rPr>
          <t>LJG:
由于优先股被列为金融负债，则应付优先股股利就是债务筹资的应计费用，应列为金融负债。</t>
        </r>
      </text>
    </comment>
    <comment ref="A14" authorId="0">
      <text>
        <r>
          <rPr>
            <sz val="9"/>
            <rFont val="宋体"/>
            <charset val="134"/>
          </rPr>
          <t>LJG:
在通用财务报表中，有时会出现“其他资产”项目，其具体内容需要查阅报表附注或其他披露信息，如果查不到结果，通常将其列为经营资产。</t>
        </r>
      </text>
    </comment>
    <comment ref="D14" authorId="0">
      <text>
        <r>
          <rPr>
            <sz val="9"/>
            <rFont val="宋体"/>
            <charset val="134"/>
          </rPr>
          <t>LJG:
指融资租赁引起的长期应付款。</t>
        </r>
      </text>
    </comment>
    <comment ref="A17" authorId="0">
      <text>
        <r>
          <rPr>
            <sz val="9"/>
            <rFont val="宋体"/>
            <charset val="134"/>
          </rPr>
          <t>LJG:
指无息应付票据。</t>
        </r>
      </text>
    </comment>
    <comment ref="D17" authorId="0">
      <text>
        <r>
          <rPr>
            <sz val="9"/>
            <rFont val="宋体"/>
            <charset val="134"/>
          </rPr>
          <t>LJG:
货币资金总额扣除经营性的即为金融性的货币资金。</t>
        </r>
      </text>
    </comment>
    <comment ref="D18" authorId="0">
      <text>
        <r>
          <rPr>
            <sz val="9"/>
            <rFont val="宋体"/>
            <charset val="134"/>
          </rPr>
          <t>LJG:
指非生产经营活动所需要的资产，而是暂时利用多余现金投资的短期权益性投资。</t>
        </r>
      </text>
    </comment>
    <comment ref="D19" authorId="0">
      <text>
        <r>
          <rPr>
            <sz val="9"/>
            <rFont val="宋体"/>
            <charset val="134"/>
          </rPr>
          <t>LJG:
指以市场利率计息的带息应收票据。</t>
        </r>
      </text>
    </comment>
    <comment ref="D20" authorId="0">
      <text>
        <r>
          <rPr>
            <sz val="9"/>
            <rFont val="宋体"/>
            <charset val="134"/>
          </rPr>
          <t>LJG:
是短期权益性投资形成的应收股利，如金融资产中的应收股利。</t>
        </r>
      </text>
    </comment>
    <comment ref="D21" authorId="0">
      <text>
        <r>
          <rPr>
            <sz val="9"/>
            <rFont val="宋体"/>
            <charset val="134"/>
          </rPr>
          <t>LJG:
来源于债权性投资，所产生的利息应当属于金融损益。</t>
        </r>
      </text>
    </comment>
    <comment ref="A22" authorId="0">
      <text>
        <r>
          <rPr>
            <sz val="9"/>
            <rFont val="宋体"/>
            <charset val="134"/>
          </rPr>
          <t>LJG:
由于普通股不是负债，则应付普通股股利也就不是债务筹资的应计费用，应列为经营负债。</t>
        </r>
      </text>
    </comment>
    <comment ref="D23" authorId="0">
      <text>
        <r>
          <rPr>
            <sz val="9"/>
            <rFont val="宋体"/>
            <charset val="134"/>
          </rPr>
          <t>LJG:
对于非金融企业，债券和其他带息的债务投资都是金融性资产。</t>
        </r>
      </text>
    </comment>
    <comment ref="A24" authorId="0">
      <text>
        <r>
          <rPr>
            <sz val="9"/>
            <rFont val="宋体"/>
            <charset val="134"/>
          </rPr>
          <t>LJG:
在通用财务报表中，有时会出现“其他负债”项目，其具体内容需要查阅 报表附注或其他披露信息，如果查不到结果，通常将其列为经营负债。</t>
        </r>
      </text>
    </comment>
    <comment ref="A28" authorId="0">
      <text>
        <r>
          <rPr>
            <sz val="9"/>
            <rFont val="宋体"/>
            <charset val="134"/>
          </rPr>
          <t>LJG:
是对其他企业经营活动的投资，购买行为虽然可能包含了部分金融资产，但难以区分，因此，无论控股比例如何均将其列为经营性资产。</t>
        </r>
      </text>
    </comment>
    <comment ref="E30" authorId="0">
      <text>
        <r>
          <rPr>
            <sz val="9"/>
            <rFont val="宋体"/>
            <charset val="134"/>
          </rPr>
          <t>LJG:
根据实际预测预算期营业收入，填列此项。</t>
        </r>
      </text>
    </comment>
    <comment ref="E34" authorId="0">
      <text>
        <r>
          <rPr>
            <sz val="9"/>
            <rFont val="宋体"/>
            <charset val="134"/>
          </rPr>
          <t>LJG:
根据股利分配政策确定分配比率。</t>
        </r>
      </text>
    </comment>
    <comment ref="E35" authorId="0">
      <text>
        <r>
          <rPr>
            <sz val="9"/>
            <rFont val="宋体"/>
            <charset val="134"/>
          </rPr>
          <t>LJG:
可参考基期销售净利率来进行计划。</t>
        </r>
      </text>
    </comment>
    <comment ref="D37" authorId="1">
      <text>
        <r>
          <rPr>
            <sz val="9"/>
            <rFont val="宋体"/>
            <charset val="134"/>
          </rPr>
          <t>LJG:
通常融资的优先顺序：1、动用现存的金融资产；2、增加留存收益；3、增加金融负债；4、增加股本。
假设：1、各项经营资产和经营负债与销售收入保持稳定的百分比；2、计划销售净利率可以涵盖借款利息的增加，防止融资预测的数据循环。</t>
        </r>
      </text>
    </comment>
    <comment ref="D38" authorId="1">
      <text>
        <r>
          <rPr>
            <sz val="9"/>
            <rFont val="宋体"/>
            <charset val="134"/>
          </rPr>
          <t>LJG:
假设可动用的金融资产=0，则外部融资销售增长比=经营资产销售百分比-经营负债销售百分比-[(1+增长率)/增长率]*预计销售净利率*(1-预计股利支付率)
外部融资额=外部融资销售增长比*销售增长额
含通货膨胀的销售增长率=（1+通货膨胀率）*（1+销售增长率）-1</t>
        </r>
      </text>
    </comment>
    <comment ref="A39" authorId="0">
      <text>
        <r>
          <rPr>
            <sz val="9"/>
            <rFont val="宋体"/>
            <charset val="134"/>
          </rPr>
          <t>LJG:
递延税项源自应税利润和会计报告利润的差额，该差额几乎都是经营收益在计算时形成的。递延所得税资产的产生是因为应税利润大于会计报告利润，应列为经营资产。</t>
        </r>
      </text>
    </comment>
    <comment ref="D39" authorId="1">
      <text>
        <r>
          <rPr>
            <sz val="9"/>
            <rFont val="宋体"/>
            <charset val="134"/>
          </rPr>
          <t>LJG:
假设：1、销售净利率维持当前水平，并且可涵盖增加债务的利息；2、资产周转率维持当前水平；3、资本结构是目标结构，并且打算继续维持下去；4、利润留存率是目标留存率，并且打算维持下去；5、不愿意或者不打算增发新股，包括股份回购。
未考虑因素：1、规模经济非线性相关；2、整批购置资产的跳跃；3、预测错误导致的过量资产。
传统用可持续增长率=销售净利率*总资产周转次数*期初权益期末总资产乘数*利润留存率=（销售净利率*资产周转率*权益乘数*本期利润留存率）/ [1-（销售净利率*资产周转率*权益乘数*本期利润留存率）]
管理用可持续增长率=（销售净利率*净经营资产周转次数*净经营资产权益乘数*本期利润留存率）/ [1-（销售净利率*净经营资产周转次数*净经营资产权益乘数*本期利润留存率）]</t>
        </r>
      </text>
    </comment>
    <comment ref="A40" authorId="0">
      <text>
        <r>
          <rPr>
            <sz val="9"/>
            <rFont val="宋体"/>
            <charset val="134"/>
          </rPr>
          <t>LJG:
在通用财务报表中，有时会出现“其他资产”项目，其具体内容需要查阅报表附注或其他披露信息，如果查不到结果，通常将其列为经营资产。</t>
        </r>
      </text>
    </comment>
    <comment ref="A43" authorId="0">
      <text>
        <r>
          <rPr>
            <sz val="9"/>
            <rFont val="宋体"/>
            <charset val="134"/>
          </rPr>
          <t>LJG:
除融资租赁外经营活动引起的长期应付款。</t>
        </r>
      </text>
    </comment>
    <comment ref="A46" authorId="0">
      <text>
        <r>
          <rPr>
            <sz val="9"/>
            <rFont val="宋体"/>
            <charset val="134"/>
          </rPr>
          <t>LJG:
递延税项源自应税利润和会计报告利润的差额，该差额几乎都是经营收益在计算时形成的。递延所得税负债的产生是因为应税利润小于会计报告利润，应列为经营负债。</t>
        </r>
      </text>
    </comment>
    <comment ref="A47" authorId="0">
      <text>
        <r>
          <rPr>
            <sz val="9"/>
            <rFont val="宋体"/>
            <charset val="134"/>
          </rPr>
          <t>LJG:
在通用财务报表中，有时会出现“其他负债”项目，其具体内容需要查阅 报表附注或其他披露信息，如果查不到结果，通常将其列为经营负债。</t>
        </r>
      </text>
    </comment>
  </commentList>
</comments>
</file>

<file path=xl/comments16.xml><?xml version="1.0" encoding="utf-8"?>
<comments xmlns="http://schemas.openxmlformats.org/spreadsheetml/2006/main">
  <authors>
    <author>LJG</author>
  </authors>
  <commentList>
    <comment ref="A5" authorId="0">
      <text>
        <r>
          <rPr>
            <sz val="9"/>
            <rFont val="宋体"/>
            <charset val="134"/>
          </rPr>
          <t>LJG:
包括主营业务收入和其他业务收入。</t>
        </r>
      </text>
    </comment>
    <comment ref="A6" authorId="0">
      <text>
        <r>
          <rPr>
            <sz val="9"/>
            <rFont val="宋体"/>
            <charset val="134"/>
          </rPr>
          <t>LJG:
包括主营业务成本和其他业务成本。</t>
        </r>
      </text>
    </comment>
    <comment ref="A8" authorId="0">
      <text>
        <r>
          <rPr>
            <sz val="9"/>
            <rFont val="宋体"/>
            <charset val="134"/>
          </rPr>
          <t>LJG:
不含增值税价外税的价内税。</t>
        </r>
      </text>
    </comment>
    <comment ref="A11" authorId="0">
      <text>
        <r>
          <rPr>
            <sz val="9"/>
            <rFont val="宋体"/>
            <charset val="134"/>
          </rPr>
          <t>LJG:
主要指发生的现金折扣或收到的现金折扣等。另有一部分利息费用已经被资本化计入相关固定资产成本，甚至已经计入折旧费用，作为经营费用抵减收入。对其进行追溯调整十分困难，通常忽略不计。</t>
        </r>
      </text>
    </comment>
    <comment ref="A12" authorId="0">
      <text>
        <r>
          <rPr>
            <sz val="9"/>
            <rFont val="宋体"/>
            <charset val="134"/>
          </rPr>
          <t>LJG:
指经营资产形成的减值损失。其数据可从报表附注“资产减值损失”中获得。</t>
        </r>
      </text>
    </comment>
    <comment ref="A13" authorId="0">
      <text>
        <r>
          <rPr>
            <sz val="9"/>
            <rFont val="宋体"/>
            <charset val="134"/>
          </rPr>
          <t>LJG:
公允资产变动收益包括交易性金融资产、交易性金融负债和直接指定的其变动计入当期损益的金融资产和金融负债，以及采用公允价值计量的投资性房地产、衍生工具、套期保值业务等公允价值变动形成的因计入当期损益的利得或损失。该项目属于经营资产变动形成的损益，应计入经营资产，之外的计入金融损益。其数据来自报表附注。</t>
        </r>
      </text>
    </comment>
    <comment ref="A14" authorId="0">
      <text>
        <r>
          <rPr>
            <sz val="9"/>
            <rFont val="宋体"/>
            <charset val="134"/>
          </rPr>
          <t>LJG:
指经营资产形成的投资收益。其数据可从报表附注“产生投资收益的来源”中获得。</t>
        </r>
      </text>
    </comment>
    <comment ref="A22" authorId="0">
      <text>
        <r>
          <rPr>
            <sz val="9"/>
            <rFont val="宋体"/>
            <charset val="134"/>
          </rPr>
          <t>LJG:
此处利息费用金额为金融活动的财务费用与公允价值变动收益及投资收益抵消后的结果，即金融活动利息费用=财务费用+资产减值损失±公允价值变动损益±投资收益。为简化核算，也可把“财务费用”全部作为金融损益来处理。</t>
        </r>
      </text>
    </comment>
    <comment ref="A26" authorId="0">
      <text>
        <r>
          <rPr>
            <sz val="9"/>
            <rFont val="宋体"/>
            <charset val="134"/>
          </rPr>
          <t>LJG:
指通用利润表的所得税费用与利润总额的比率。分摊的简便方法是根据企业实际负担的平均所得税税率计算各自应分摊的所得税；严格方法是分别根据适用税率计算应负担的所得税（各种债权和债务的适用税率不一定相同，例如国债收益免税等）。本表采用简便方法处理，可用利润表的所得税费用比利润总额简便计算。</t>
        </r>
      </text>
    </comment>
  </commentList>
</comments>
</file>

<file path=xl/comments17.xml><?xml version="1.0" encoding="utf-8"?>
<comments xmlns="http://schemas.openxmlformats.org/spreadsheetml/2006/main">
  <authors>
    <author>LJG</author>
    <author>Think</author>
  </authors>
  <commentList>
    <comment ref="A1" authorId="0">
      <text>
        <r>
          <rPr>
            <sz val="9"/>
            <rFont val="宋体"/>
            <charset val="134"/>
          </rPr>
          <t>LJG:
用于本行业与同行业横向绩效评价标准均值对比，找出差距，提出改善性建议。
根据《中央企业综合绩效评价管理暂行办法》等规定，对国有经济各行业运行状况进行客观分析和判断的基础上，运用数理统计方法测算测定。</t>
        </r>
      </text>
    </comment>
    <comment ref="A3" authorId="0">
      <text>
        <r>
          <rPr>
            <sz val="9"/>
            <rFont val="宋体"/>
            <charset val="134"/>
          </rPr>
          <t>LJG:
中央企业综合业绩评价指标体系包括两项：财务业绩(70%)和管理业绩(30%)。
具体包括8个基本指标(蓝色)、14个修正指标(红色)和8个评议指标三项目，三个项目设计权数均为100。
70%财务业绩财务指标及权数包括：盈利能力状况34、资产质量状况22、债务风险状况22、经营增长状况22。
30%管理业绩评议指标包括：战略管理18、发展创新15、经营决策16、风险控制13、基础管理14、人力资源8、行业影响8、社会贡献8。</t>
        </r>
      </text>
    </comment>
    <comment ref="D3" authorId="0">
      <text>
        <r>
          <rPr>
            <sz val="9"/>
            <rFont val="宋体"/>
            <charset val="134"/>
          </rPr>
          <t>LJG:
根据国家统计局《关于统计上大中小型企业划分办法(暂行）》（国统字〔2003〕17号）和国资委《关于在财务统计工作中执行新的企业规模划分标准的通知》（国资厅评价函〔2003〕327号）财务绩效评价标准划分为全行业和大中小型规模标准值。
应考虑外部环境影响对其行业绩效均值进行及时修订，以增加可比性。</t>
        </r>
      </text>
    </comment>
    <comment ref="H3" authorId="1">
      <text>
        <r>
          <rPr>
            <sz val="9"/>
            <rFont val="宋体"/>
            <charset val="134"/>
          </rPr>
          <t>LJG:
煤炭、石油化工、冶金、建材、化学、森林、食品、烟草、纺织、医药、机械、电子、电力热力燃气、水生产与供应业、轻工业、其他工业。</t>
        </r>
      </text>
    </comment>
    <comment ref="I3" authorId="1">
      <text>
        <r>
          <rPr>
            <sz val="9"/>
            <rFont val="宋体"/>
            <charset val="134"/>
          </rPr>
          <t>LJG:
房屋和土木工程、建筑安装业、建筑装饰业。</t>
        </r>
      </text>
    </comment>
    <comment ref="J3" authorId="1">
      <text>
        <r>
          <rPr>
            <sz val="9"/>
            <rFont val="宋体"/>
            <charset val="134"/>
          </rPr>
          <t>LJG:
铁路、道路、城市公共交通业、水上运输业、航空运输业、仓储业。</t>
        </r>
      </text>
    </comment>
    <comment ref="K3" authorId="1">
      <text>
        <r>
          <rPr>
            <sz val="9"/>
            <rFont val="宋体"/>
            <charset val="134"/>
          </rPr>
          <t>LJG:
电信业、计算机服务与软件业。</t>
        </r>
      </text>
    </comment>
    <comment ref="L3" authorId="1">
      <text>
        <r>
          <rPr>
            <sz val="9"/>
            <rFont val="宋体"/>
            <charset val="134"/>
          </rPr>
          <t>LJG:
商业贸易、物资贸易、粮食业。</t>
        </r>
      </text>
    </comment>
    <comment ref="M3" authorId="1">
      <text>
        <r>
          <rPr>
            <sz val="9"/>
            <rFont val="宋体"/>
            <charset val="134"/>
          </rPr>
          <t>LJG:
住宿业、餐饮业。</t>
        </r>
      </text>
    </comment>
    <comment ref="N3" authorId="1">
      <text>
        <r>
          <rPr>
            <sz val="9"/>
            <rFont val="宋体"/>
            <charset val="134"/>
          </rPr>
          <t>LJG:
房地产开发业、物业管理业。</t>
        </r>
      </text>
    </comment>
    <comment ref="O3" authorId="1">
      <text>
        <r>
          <rPr>
            <sz val="9"/>
            <rFont val="宋体"/>
            <charset val="134"/>
          </rPr>
          <t>LJG:
信息咨询服务业、公共设施管理业、科研设计企业、大旅游、投资公司、地质勘查业、人力资源服务业、市政公用业。</t>
        </r>
      </text>
    </comment>
    <comment ref="P3" authorId="1">
      <text>
        <r>
          <rPr>
            <sz val="9"/>
            <rFont val="宋体"/>
            <charset val="134"/>
          </rPr>
          <t>LJG:
出版业、广播电影电视业、文化艺术业。</t>
        </r>
      </text>
    </comment>
    <comment ref="Q3" authorId="1">
      <text>
        <r>
          <rPr>
            <sz val="9"/>
            <rFont val="宋体"/>
            <charset val="134"/>
          </rPr>
          <t>LJG:
农业、林业、畜牧业、渔业。</t>
        </r>
      </text>
    </comment>
    <comment ref="G4" authorId="0">
      <text>
        <r>
          <rPr>
            <sz val="9"/>
            <rFont val="宋体"/>
            <charset val="134"/>
          </rPr>
          <t>LJG:
平均值可根据企业实际规模来考虑大中小型规模因素调整影响，以更具有可比性。</t>
        </r>
      </text>
    </comment>
    <comment ref="A5" authorId="0">
      <text>
        <r>
          <rPr>
            <sz val="9"/>
            <rFont val="宋体"/>
            <charset val="134"/>
          </rPr>
          <t>LJG:
权数34，具体分解为基本指标和修正指标两项，各项权数相加均为34。</t>
        </r>
      </text>
    </comment>
    <comment ref="A6" authorId="0">
      <text>
        <r>
          <rPr>
            <sz val="9"/>
            <rFont val="宋体"/>
            <charset val="134"/>
          </rPr>
          <t>LJG:
基本指标，权数20。</t>
        </r>
      </text>
    </comment>
    <comment ref="B6" authorId="0">
      <text>
        <r>
          <rPr>
            <sz val="9"/>
            <rFont val="宋体"/>
            <charset val="134"/>
          </rPr>
          <t>LJG:
平均净资产=（年初归属于母公司所有者权益合计+年末归属于母公司所有者权益合计）/2</t>
        </r>
      </text>
    </comment>
    <comment ref="G6" authorId="0">
      <text>
        <r>
          <rPr>
            <sz val="9"/>
            <rFont val="宋体"/>
            <charset val="134"/>
          </rPr>
          <t>LJG:
规模浮动比例：大型：标杆上浮16%  平均上浮34%  中型：标杆上浮3%  平均下浮6%  小型：标杆下浮21%  平均下浮21%</t>
        </r>
      </text>
    </comment>
    <comment ref="A7" authorId="0">
      <text>
        <r>
          <rPr>
            <sz val="9"/>
            <rFont val="宋体"/>
            <charset val="134"/>
          </rPr>
          <t>LJG:
基本指标，权数14。</t>
        </r>
      </text>
    </comment>
    <comment ref="B7" authorId="0">
      <text>
        <r>
          <rPr>
            <sz val="9"/>
            <rFont val="宋体"/>
            <charset val="134"/>
          </rPr>
          <t>LJG:
平均资产总额=（年初资产总额+年末资产总额）/2</t>
        </r>
      </text>
    </comment>
    <comment ref="C7" authorId="0">
      <text>
        <r>
          <rPr>
            <sz val="9"/>
            <rFont val="宋体"/>
            <charset val="134"/>
          </rPr>
          <t>LJG:
默认利息支出与财务费用等效。</t>
        </r>
      </text>
    </comment>
    <comment ref="G7" authorId="0">
      <text>
        <r>
          <rPr>
            <sz val="9"/>
            <rFont val="宋体"/>
            <charset val="134"/>
          </rPr>
          <t>LJG:
规模浮动比例：大型：标杆上浮25%  平均上浮30%  中型：标杆下浮8%  平均下浮30%  小型：标杆下浮30%  平均下浮43%</t>
        </r>
      </text>
    </comment>
    <comment ref="A8" authorId="0">
      <text>
        <r>
          <rPr>
            <sz val="9"/>
            <rFont val="宋体"/>
            <charset val="134"/>
          </rPr>
          <t>LJG:
修正指标，权数10。</t>
        </r>
      </text>
    </comment>
    <comment ref="B8" authorId="0">
      <text>
        <r>
          <rPr>
            <sz val="9"/>
            <rFont val="宋体"/>
            <charset val="134"/>
          </rPr>
          <t>LJG:
主营业务利润=主营业务收入-主营业务成本-主营业务税金及附加</t>
        </r>
      </text>
    </comment>
    <comment ref="G8" authorId="0">
      <text>
        <r>
          <rPr>
            <sz val="9"/>
            <rFont val="宋体"/>
            <charset val="134"/>
          </rPr>
          <t>LJG:
规模浮动比例：大型：标杆上浮22%  平均上浮44%  中型：标杆上浮9%  平均上浮3%  小型：标杆下浮11%  平均下浮20%</t>
        </r>
      </text>
    </comment>
    <comment ref="A9" authorId="0">
      <text>
        <r>
          <rPr>
            <sz val="9"/>
            <rFont val="宋体"/>
            <charset val="134"/>
          </rPr>
          <t>LJG:
修正指标，权数9。</t>
        </r>
      </text>
    </comment>
    <comment ref="B9" authorId="0">
      <text>
        <r>
          <rPr>
            <sz val="9"/>
            <rFont val="宋体"/>
            <charset val="134"/>
          </rPr>
          <t>LJG:
在所得税税率25%下扣除突发损益影响）标准75%—135%，制造业接近125%—135%上限，服务业接近75%—85%的下限。</t>
        </r>
      </text>
    </comment>
    <comment ref="G9" authorId="0">
      <text>
        <r>
          <rPr>
            <sz val="9"/>
            <rFont val="宋体"/>
            <charset val="134"/>
          </rPr>
          <t>LJG:
规模浮动比例：大型：标杆上浮6%  平均上浮25%  中型：标杆上浮13%  平均上浮0  小型：标杆下浮1%  平均下浮75%</t>
        </r>
      </text>
    </comment>
    <comment ref="A10" authorId="0">
      <text>
        <r>
          <rPr>
            <sz val="9"/>
            <rFont val="宋体"/>
            <charset val="134"/>
          </rPr>
          <t>LJG:
修正指标，权数8。</t>
        </r>
      </text>
    </comment>
    <comment ref="B10" authorId="0">
      <text>
        <r>
          <rPr>
            <sz val="9"/>
            <rFont val="宋体"/>
            <charset val="134"/>
          </rPr>
          <t>LJG:
成本费用总额=主营业务成本+主营业务税金及附加+销售费用+管理费用+财务费用</t>
        </r>
      </text>
    </comment>
    <comment ref="G10" authorId="0">
      <text>
        <r>
          <rPr>
            <sz val="9"/>
            <rFont val="宋体"/>
            <charset val="134"/>
          </rPr>
          <t>LJG:
规模浮动比例：大型：标杆上浮22%  平均上浮67%  中型：标杆上浮15%  平均上浮8%  小型：标杆下浮20%  平均下浮42%</t>
        </r>
      </text>
    </comment>
    <comment ref="A11" authorId="0">
      <text>
        <r>
          <rPr>
            <sz val="9"/>
            <rFont val="宋体"/>
            <charset val="134"/>
          </rPr>
          <t>LJG:
修正指标，权数7。</t>
        </r>
      </text>
    </comment>
    <comment ref="B11" authorId="0">
      <text>
        <r>
          <rPr>
            <sz val="9"/>
            <rFont val="宋体"/>
            <charset val="134"/>
          </rPr>
          <t>LJG:
平均资本=[(年初实收资本+年初资本公积)+(年末实收资本+年末资本公积)]/2</t>
        </r>
      </text>
    </comment>
    <comment ref="G11" authorId="0">
      <text>
        <r>
          <rPr>
            <sz val="9"/>
            <rFont val="宋体"/>
            <charset val="134"/>
          </rPr>
          <t>LJG:
规模浮动比例：大型：标杆上浮32%  平均上浮33%  中型：标杆上浮13%  平均下浮11%  小型：标杆下浮18%  平均下浮24%</t>
        </r>
      </text>
    </comment>
    <comment ref="A12" authorId="0">
      <text>
        <r>
          <rPr>
            <sz val="9"/>
            <rFont val="宋体"/>
            <charset val="134"/>
          </rPr>
          <t>LJG:
权数22，具体分解为基本指标和修正指标两项，各项权数相加均为22。</t>
        </r>
      </text>
    </comment>
    <comment ref="A13" authorId="0">
      <text>
        <r>
          <rPr>
            <sz val="9"/>
            <rFont val="宋体"/>
            <charset val="134"/>
          </rPr>
          <t>LJG:
基本指标，权数10。</t>
        </r>
      </text>
    </comment>
    <comment ref="B13" authorId="0">
      <text>
        <r>
          <rPr>
            <sz val="9"/>
            <rFont val="宋体"/>
            <charset val="134"/>
          </rPr>
          <t>LJG:
平均资产总额=（年初资产总额+年末资产总额）/2</t>
        </r>
      </text>
    </comment>
    <comment ref="G13" authorId="0">
      <text>
        <r>
          <rPr>
            <sz val="9"/>
            <rFont val="宋体"/>
            <charset val="134"/>
          </rPr>
          <t>LJG:
规模浮动比例：大型：标杆下浮6%  平均下浮0  中型：标杆上浮0  平均上浮40%  小型：标杆上浮13%  平均上浮0</t>
        </r>
      </text>
    </comment>
    <comment ref="A14" authorId="0">
      <text>
        <r>
          <rPr>
            <sz val="9"/>
            <rFont val="宋体"/>
            <charset val="134"/>
          </rPr>
          <t>LJG:
基本指标，权数12。</t>
        </r>
      </text>
    </comment>
    <comment ref="B14" authorId="0">
      <text>
        <r>
          <rPr>
            <sz val="9"/>
            <rFont val="宋体"/>
            <charset val="134"/>
          </rPr>
          <t>LJG:
应收账款平均余额=[(年初应收账款净额+年初应收账款坏账准备)+(年末应收账款净额+年末应收账款坏账准备)]/2</t>
        </r>
      </text>
    </comment>
    <comment ref="C14" authorId="0">
      <text>
        <r>
          <rPr>
            <sz val="9"/>
            <rFont val="宋体"/>
            <charset val="134"/>
          </rPr>
          <t>LJG:
未考虑应收账款坏账准备金额。</t>
        </r>
      </text>
    </comment>
    <comment ref="G14" authorId="0">
      <text>
        <r>
          <rPr>
            <sz val="9"/>
            <rFont val="宋体"/>
            <charset val="134"/>
          </rPr>
          <t>LJG:
规模浮动比例：大型：标杆上浮16%  平均上浮22%  中型：标杆上浮16%  平均下浮16%  小型：标杆下浮6%  平均下浮22%</t>
        </r>
      </text>
    </comment>
    <comment ref="A15" authorId="0">
      <text>
        <r>
          <rPr>
            <sz val="9"/>
            <rFont val="宋体"/>
            <charset val="134"/>
          </rPr>
          <t>LJG:
修正指标，权数9。</t>
        </r>
      </text>
    </comment>
    <comment ref="B15" authorId="0">
      <text>
        <r>
          <rPr>
            <sz val="9"/>
            <rFont val="宋体"/>
            <charset val="134"/>
          </rPr>
          <t>LJG:
年末不良资产总额=资产减值准备余额+应提未提和应摊未摊的潜亏挂账+未处理资产损失</t>
        </r>
      </text>
    </comment>
    <comment ref="C15" authorId="0">
      <text>
        <r>
          <rPr>
            <sz val="9"/>
            <rFont val="宋体"/>
            <charset val="134"/>
          </rPr>
          <t>LJG:
未考虑未记账的账外因素。</t>
        </r>
      </text>
    </comment>
    <comment ref="G15" authorId="0">
      <text>
        <r>
          <rPr>
            <sz val="9"/>
            <rFont val="宋体"/>
            <charset val="134"/>
          </rPr>
          <t>LJG:
规模浮动比例：大型：标杆下浮67%  平均下浮50%  中型：标杆下浮0  平均下浮15%  小型：标杆上浮67%  平均上浮9%</t>
        </r>
      </text>
    </comment>
    <comment ref="A16" authorId="0">
      <text>
        <r>
          <rPr>
            <sz val="9"/>
            <rFont val="宋体"/>
            <charset val="134"/>
          </rPr>
          <t>LJG:
修正指标，权数7。</t>
        </r>
      </text>
    </comment>
    <comment ref="B16" authorId="0">
      <text>
        <r>
          <rPr>
            <sz val="9"/>
            <rFont val="宋体"/>
            <charset val="134"/>
          </rPr>
          <t>LJG:
平均流动资产总额=（年初流动资产总额+年末流动资产总额）/2</t>
        </r>
      </text>
    </comment>
    <comment ref="G16" authorId="0">
      <text>
        <r>
          <rPr>
            <sz val="9"/>
            <rFont val="宋体"/>
            <charset val="134"/>
          </rPr>
          <t>LJG:
规模浮动比例：大型：标杆下浮3%  平均下浮0  中型：标杆上浮23%  平均上浮0  小型：标杆上浮10%  平均上浮7%</t>
        </r>
      </text>
    </comment>
    <comment ref="A17" authorId="0">
      <text>
        <r>
          <rPr>
            <sz val="9"/>
            <rFont val="宋体"/>
            <charset val="134"/>
          </rPr>
          <t>LJG:
修正指标，权数6。</t>
        </r>
      </text>
    </comment>
    <comment ref="B17" authorId="0">
      <text>
        <r>
          <rPr>
            <sz val="9"/>
            <rFont val="宋体"/>
            <charset val="134"/>
          </rPr>
          <t>LJG:
平均资产总额=（年初资产总额+年末资产总额）/2</t>
        </r>
      </text>
    </comment>
    <comment ref="G17" authorId="0">
      <text>
        <r>
          <rPr>
            <sz val="9"/>
            <rFont val="宋体"/>
            <charset val="134"/>
          </rPr>
          <t>LJG:
规模浮动比例：大型：标杆上浮3%  平均上浮59%  中型：标杆下浮7%  平均上浮10%  小型：标杆下浮15%  平均下浮90%</t>
        </r>
      </text>
    </comment>
    <comment ref="A18" authorId="0">
      <text>
        <r>
          <rPr>
            <sz val="9"/>
            <rFont val="宋体"/>
            <charset val="134"/>
          </rPr>
          <t>LJG:
权数22，具体分解为基本指标和修正指标两项，各项权数相加均为22。</t>
        </r>
      </text>
    </comment>
    <comment ref="A19" authorId="0">
      <text>
        <r>
          <rPr>
            <sz val="9"/>
            <rFont val="宋体"/>
            <charset val="134"/>
          </rPr>
          <t>LJG:
基本指标，权数12。</t>
        </r>
      </text>
    </comment>
    <comment ref="G19" authorId="0">
      <text>
        <r>
          <rPr>
            <sz val="9"/>
            <rFont val="宋体"/>
            <charset val="134"/>
          </rPr>
          <t>LJG:
规模浮动比例：大型：标杆下浮7%  平均下浮10%  中型：标杆上浮1%  平均下浮3%  小型：标杆上浮8%  平均上浮5%</t>
        </r>
      </text>
    </comment>
    <comment ref="A20" authorId="0">
      <text>
        <r>
          <rPr>
            <sz val="9"/>
            <rFont val="宋体"/>
            <charset val="134"/>
          </rPr>
          <t>LJG:
基本指标，权数10。</t>
        </r>
      </text>
    </comment>
    <comment ref="C20" authorId="0">
      <text>
        <r>
          <rPr>
            <sz val="9"/>
            <rFont val="宋体"/>
            <charset val="134"/>
          </rPr>
          <t>LJG:
默认利息支出与财务费用等效。</t>
        </r>
      </text>
    </comment>
    <comment ref="G20" authorId="0">
      <text>
        <r>
          <rPr>
            <sz val="9"/>
            <rFont val="宋体"/>
            <charset val="134"/>
          </rPr>
          <t>LJG:
规模浮动比例：大型：标杆上浮15%  平均上浮6%  中型：标杆下浮20%  平均下浮34%  小型：标杆下浮34%  平均下浮47%</t>
        </r>
      </text>
    </comment>
    <comment ref="A21" authorId="0">
      <text>
        <r>
          <rPr>
            <sz val="9"/>
            <rFont val="宋体"/>
            <charset val="134"/>
          </rPr>
          <t>LJG:
修正指标，权数6。</t>
        </r>
      </text>
    </comment>
    <comment ref="B21" authorId="0">
      <text>
        <r>
          <rPr>
            <sz val="9"/>
            <rFont val="宋体"/>
            <charset val="134"/>
          </rPr>
          <t>LJG:
速动资产=流动资产-存货</t>
        </r>
      </text>
    </comment>
    <comment ref="G21" authorId="0">
      <text>
        <r>
          <rPr>
            <sz val="9"/>
            <rFont val="宋体"/>
            <charset val="134"/>
          </rPr>
          <t>LJG:
规模浮动比例：大型：标杆上浮8%  平均上浮3%  中型：标杆下浮6%  平均下浮1%  小型：标杆上浮15%  平均上浮16%</t>
        </r>
      </text>
    </comment>
    <comment ref="A22" authorId="0">
      <text>
        <r>
          <rPr>
            <sz val="9"/>
            <rFont val="宋体"/>
            <charset val="134"/>
          </rPr>
          <t>LJG:
修正指标，权数6。</t>
        </r>
      </text>
    </comment>
    <comment ref="G22" authorId="0">
      <text>
        <r>
          <rPr>
            <sz val="9"/>
            <rFont val="宋体"/>
            <charset val="134"/>
          </rPr>
          <t>LJG:
规模浮动比例：大型：标杆上浮19%  平均上浮47%  中型：标杆上浮5%  平均下浮21%  小型：标杆下浮23%  平均下浮56%</t>
        </r>
      </text>
    </comment>
    <comment ref="A23" authorId="0">
      <text>
        <r>
          <rPr>
            <sz val="9"/>
            <rFont val="宋体"/>
            <charset val="134"/>
          </rPr>
          <t>LJG:
修正指标，权数5。</t>
        </r>
      </text>
    </comment>
    <comment ref="G23" authorId="0">
      <text>
        <r>
          <rPr>
            <sz val="9"/>
            <rFont val="宋体"/>
            <charset val="134"/>
          </rPr>
          <t>LJG:
规模浮动比例：大型：标杆下浮6%  平均下浮9%  中型：标杆上浮3%  平均下浮1%  小型：标杆上浮20%  平均上浮5%</t>
        </r>
      </text>
    </comment>
    <comment ref="A24" authorId="0">
      <text>
        <r>
          <rPr>
            <sz val="9"/>
            <rFont val="宋体"/>
            <charset val="134"/>
          </rPr>
          <t>LJG:
修正指标，权数5。</t>
        </r>
      </text>
    </comment>
    <comment ref="B24" authorId="0">
      <text>
        <r>
          <rPr>
            <sz val="9"/>
            <rFont val="宋体"/>
            <charset val="134"/>
          </rPr>
          <t>LJG:
或有负债余额=已贴现承兑汇票+担保余额+贴现与担保外的被诉事项金额+其他或有负债</t>
        </r>
      </text>
    </comment>
    <comment ref="C24" authorId="0">
      <text>
        <r>
          <rPr>
            <sz val="9"/>
            <rFont val="宋体"/>
            <charset val="134"/>
          </rPr>
          <t>LJG:
不考虑表外等因素，视同或有负债等效预计负债余额。</t>
        </r>
      </text>
    </comment>
    <comment ref="G24" authorId="0">
      <text>
        <r>
          <rPr>
            <sz val="9"/>
            <rFont val="宋体"/>
            <charset val="134"/>
          </rPr>
          <t>LJG:
规模浮动比例：大型：标杆下浮20%  平均上浮10%  中型：标杆上浮40%  平均下浮2%  小型：标杆上浮60%  平均上浮15%</t>
        </r>
      </text>
    </comment>
    <comment ref="A25" authorId="0">
      <text>
        <r>
          <rPr>
            <sz val="9"/>
            <rFont val="宋体"/>
            <charset val="134"/>
          </rPr>
          <t>LJG:
权数22，具体分解为基本指标和修正指标两项，各项权数相加均为22。</t>
        </r>
      </text>
    </comment>
    <comment ref="A26" authorId="0">
      <text>
        <r>
          <rPr>
            <sz val="9"/>
            <rFont val="宋体"/>
            <charset val="134"/>
          </rPr>
          <t>LJG:
基本指标，权数12。</t>
        </r>
      </text>
    </comment>
    <comment ref="G26" authorId="0">
      <text>
        <r>
          <rPr>
            <sz val="9"/>
            <rFont val="宋体"/>
            <charset val="134"/>
          </rPr>
          <t>LJG:
规模浮动比例：大型：标杆上浮28%  平均上浮31%  中型：标杆上浮21%  平均上浮23%  小型：标杆下浮10%  平均下浮57%</t>
        </r>
      </text>
    </comment>
    <comment ref="A27" authorId="0">
      <text>
        <r>
          <rPr>
            <sz val="9"/>
            <rFont val="宋体"/>
            <charset val="134"/>
          </rPr>
          <t>LJG:
基本指标，权数10。</t>
        </r>
      </text>
    </comment>
    <comment ref="C27" authorId="0">
      <text>
        <r>
          <rPr>
            <sz val="9"/>
            <rFont val="宋体"/>
            <charset val="134"/>
          </rPr>
          <t>LJG:
不考虑客观因素，可修正。</t>
        </r>
      </text>
    </comment>
    <comment ref="G27" authorId="0">
      <text>
        <r>
          <rPr>
            <sz val="9"/>
            <rFont val="宋体"/>
            <charset val="134"/>
          </rPr>
          <t>LJG:
规模浮动比例：大型：标杆上浮2%  平均上浮1%  中型：标杆下浮1%  平均下浮1%  小型：标杆下浮4%  平均下浮2%</t>
        </r>
      </text>
    </comment>
    <comment ref="A28" authorId="0">
      <text>
        <r>
          <rPr>
            <sz val="9"/>
            <rFont val="宋体"/>
            <charset val="134"/>
          </rPr>
          <t>LJG:
修正指标，权数10。</t>
        </r>
      </text>
    </comment>
    <comment ref="G28" authorId="0">
      <text>
        <r>
          <rPr>
            <sz val="9"/>
            <rFont val="宋体"/>
            <charset val="134"/>
          </rPr>
          <t>LJG:
规模浮动比例：大型：标杆下浮4%  平均下浮7%  中型：标杆上浮9%  平均上浮4%  小型：标杆下浮10%  平均下浮50%</t>
        </r>
      </text>
    </comment>
    <comment ref="A29" authorId="0">
      <text>
        <r>
          <rPr>
            <sz val="9"/>
            <rFont val="宋体"/>
            <charset val="134"/>
          </rPr>
          <t>LJG:
修正指标，权数7。</t>
        </r>
      </text>
    </comment>
    <comment ref="G29" authorId="0">
      <text>
        <r>
          <rPr>
            <sz val="9"/>
            <rFont val="宋体"/>
            <charset val="134"/>
          </rPr>
          <t>LJG:
规模浮动比例：大型：标杆下浮3%  平均下浮10%  中型：标杆上浮10%  平均上浮3%  小型：标杆上浮5%  平均下浮48%</t>
        </r>
      </text>
    </comment>
    <comment ref="A30" authorId="0">
      <text>
        <r>
          <rPr>
            <sz val="9"/>
            <rFont val="宋体"/>
            <charset val="134"/>
          </rPr>
          <t>LJG:
修正指标，权数5。</t>
        </r>
      </text>
    </comment>
    <comment ref="C30" authorId="0">
      <text>
        <r>
          <rPr>
            <sz val="9"/>
            <rFont val="宋体"/>
            <charset val="134"/>
          </rPr>
          <t>LJG:
根据明细账分析计算填列。</t>
        </r>
      </text>
    </comment>
    <comment ref="G30" authorId="0">
      <text>
        <r>
          <rPr>
            <sz val="9"/>
            <rFont val="宋体"/>
            <charset val="134"/>
          </rPr>
          <t>LJG:
规模浮动比例：大型：标杆上浮11%  平均上浮30%  中型：标杆下浮17%  平均下浮0  小型：标杆下浮33%  平均下浮30%</t>
        </r>
      </text>
    </comment>
    <comment ref="A31" authorId="0">
      <text>
        <r>
          <rPr>
            <sz val="9"/>
            <rFont val="宋体"/>
            <charset val="134"/>
          </rPr>
          <t>LJG:
补充资料的5个补充指标(绿色)，主要是为了满足企业日常财务分析与企业管理的需要。</t>
        </r>
      </text>
    </comment>
    <comment ref="G32" authorId="0">
      <text>
        <r>
          <rPr>
            <sz val="9"/>
            <rFont val="宋体"/>
            <charset val="134"/>
          </rPr>
          <t>LJG:
规模浮动比例：大型：标杆上浮16%  平均上浮15%  中型：标杆下浮8%  平均下浮17%  小型：标杆下浮1%  平均下浮42%</t>
        </r>
      </text>
    </comment>
    <comment ref="C33" authorId="0">
      <text>
        <r>
          <rPr>
            <sz val="9"/>
            <rFont val="宋体"/>
            <charset val="134"/>
          </rPr>
          <t>LJG:
根据本年与三年前相关数据计算填列。</t>
        </r>
      </text>
    </comment>
    <comment ref="G33" authorId="0">
      <text>
        <r>
          <rPr>
            <sz val="9"/>
            <rFont val="宋体"/>
            <charset val="134"/>
          </rPr>
          <t>LJG:
规模浮动比例：大型：标杆上浮2%  平均上浮10%  中型：标杆下浮6%  平均下浮12%  小型：标杆下浮28%  平均下浮64%</t>
        </r>
      </text>
    </comment>
    <comment ref="B35" authorId="1">
      <text>
        <r>
          <rPr>
            <sz val="9"/>
            <rFont val="宋体"/>
            <charset val="134"/>
          </rPr>
          <t>LJG:
经济增加值=净利润+（利息支出+研究开发费用调整项-非经常性收益调整项*50%）*（1-25%）-调整后资本*平均资本成本率（5.5%）
调整后资本=平均资产总额-平均应付票据-平均应付账款-平均预收款项-平均应交税费-平均应付利息-平均其他应付款-平均其他流动负债-平均专项应付款-平均特准储备基金-平均在建工程</t>
        </r>
      </text>
    </comment>
    <comment ref="G37" authorId="0">
      <text>
        <r>
          <rPr>
            <sz val="9"/>
            <rFont val="宋体"/>
            <charset val="134"/>
          </rPr>
          <t>LJG:
规模浮动比例：大型：标杆上浮6%  平均上浮15%  中型：标杆下浮9%  平均下浮36%  小型：标杆下浮34%  平均下浮32%</t>
        </r>
      </text>
    </comment>
  </commentList>
</comments>
</file>

<file path=xl/comments18.xml><?xml version="1.0" encoding="utf-8"?>
<comments xmlns="http://schemas.openxmlformats.org/spreadsheetml/2006/main">
  <authors>
    <author>LJG</author>
  </authors>
  <commentList>
    <comment ref="A3" authorId="0">
      <text>
        <r>
          <rPr>
            <sz val="9"/>
            <rFont val="宋体"/>
            <charset val="134"/>
          </rPr>
          <t>LJG:
存货、应收账款、应付账款、预收账款、预付账款一般应基于借款人所提供的最新年度报表。因非常规因素导致财务数据不能反映实际的科目需调整。</t>
        </r>
      </text>
    </comment>
    <comment ref="D3" authorId="0">
      <text>
        <r>
          <rPr>
            <sz val="9"/>
            <rFont val="宋体"/>
            <charset val="134"/>
          </rPr>
          <t>LJG:
存货、应收账款、应付账款、预收账款、预付账款的平均余额测算应保持其连续性，如按年度测算，则用年初余额加年末余额除以2；如按月末余额，则用连续12个月的月末余额相加除以12；如按季末余额，则用连续四个季度的季末余额相加除以4.</t>
        </r>
      </text>
    </comment>
    <comment ref="E3" authorId="0">
      <text>
        <r>
          <rPr>
            <sz val="9"/>
            <rFont val="宋体"/>
            <charset val="134"/>
          </rPr>
          <t>LJG:
上年度销售成本</t>
        </r>
      </text>
    </comment>
    <comment ref="F3" authorId="0">
      <text>
        <r>
          <rPr>
            <sz val="9"/>
            <rFont val="宋体"/>
            <charset val="134"/>
          </rPr>
          <t>LJG:
上年度销售收入</t>
        </r>
      </text>
    </comment>
    <comment ref="H3" authorId="0">
      <text>
        <r>
          <rPr>
            <sz val="9"/>
            <rFont val="宋体"/>
            <charset val="134"/>
          </rPr>
          <t>LJG:
为确保企业在波动的经营环境中保持适度流动性，周转天数计算时可根据行业特点考虑一定的保险系数，一般不应超过1.5，考虑保险系数的，必须提供调整依据。</t>
        </r>
      </text>
    </comment>
    <comment ref="A9" authorId="0">
      <text>
        <r>
          <rPr>
            <sz val="9"/>
            <rFont val="宋体"/>
            <charset val="134"/>
          </rPr>
          <t>LJG:
上年度净利润</t>
        </r>
      </text>
    </comment>
    <comment ref="A12" authorId="0">
      <text>
        <r>
          <rPr>
            <sz val="9"/>
            <rFont val="宋体"/>
            <charset val="134"/>
          </rPr>
          <t>LJG:
营运资金周转天数=存货周转天数+应收账款周转天数+预付账款周转天数-应付账款周转天数-预收账款周转天数</t>
        </r>
      </text>
    </comment>
    <comment ref="C13" authorId="0">
      <text>
        <r>
          <rPr>
            <sz val="9"/>
            <rFont val="宋体"/>
            <charset val="134"/>
          </rPr>
          <t>LJG:
一般应根据过去三年的平均增长率估算，有充分证据证明（如已有订单或明确意向订单）借款人存在超常发展需求的，可按实际需求估算其销售收入年增长率。</t>
        </r>
      </text>
    </comment>
    <comment ref="C14" authorId="0">
      <text>
        <r>
          <rPr>
            <sz val="9"/>
            <rFont val="宋体"/>
            <charset val="134"/>
          </rPr>
          <t>LJG:
根据企业实际情况确定。</t>
        </r>
      </text>
    </comment>
    <comment ref="A16" authorId="0">
      <text>
        <r>
          <rPr>
            <sz val="9"/>
            <rFont val="宋体"/>
            <charset val="134"/>
          </rPr>
          <t xml:space="preserve">LJG:
</t>
        </r>
      </text>
    </comment>
    <comment ref="B19" authorId="0">
      <text>
        <r>
          <rPr>
            <sz val="9"/>
            <rFont val="宋体"/>
            <charset val="134"/>
          </rPr>
          <t>LJG:
自由资金=非流动负债+所有者权益-非流动资产=长期资本-长期资产</t>
        </r>
      </text>
    </comment>
    <comment ref="C19" authorId="0">
      <text>
        <r>
          <rPr>
            <sz val="9"/>
            <rFont val="宋体"/>
            <charset val="134"/>
          </rPr>
          <t>LJG:
指借款人已经发生的流动资金贷款。原贷款银行为流动资金贷款类额度项下贷款用于置换/归还他行流动资金贷款的，可不扣除；借款人短期贷款中来源于有追索权票据贴现的部分，可不扣除。</t>
        </r>
      </text>
    </comment>
    <comment ref="D19" authorId="0">
      <text>
        <r>
          <rPr>
            <sz val="9"/>
            <rFont val="宋体"/>
            <charset val="134"/>
          </rPr>
          <t>LJG:
借款人发行的除贷款外的其他短期融资工具，如短期融资券等。</t>
        </r>
      </text>
    </comment>
  </commentList>
</comments>
</file>

<file path=xl/comments19.xml><?xml version="1.0" encoding="utf-8"?>
<comments xmlns="http://schemas.openxmlformats.org/spreadsheetml/2006/main">
  <authors>
    <author>LJG</author>
  </authors>
  <commentList>
    <comment ref="B3" authorId="0">
      <text>
        <r>
          <rPr>
            <sz val="9"/>
            <rFont val="宋体"/>
            <charset val="134"/>
          </rPr>
          <t>LJG:
根据公司实际平均资金成本率确定，如借款年利率等。</t>
        </r>
      </text>
    </comment>
    <comment ref="D3" authorId="0">
      <text>
        <r>
          <rPr>
            <sz val="9"/>
            <rFont val="宋体"/>
            <charset val="134"/>
          </rPr>
          <t>LJG:
根据企业实际平均投资收益率确定。</t>
        </r>
      </text>
    </comment>
    <comment ref="A5" authorId="0">
      <text>
        <r>
          <rPr>
            <sz val="9"/>
            <rFont val="宋体"/>
            <charset val="134"/>
          </rPr>
          <t>LJG:
初期投资额须以负数列示。</t>
        </r>
      </text>
    </comment>
    <comment ref="A17" authorId="0">
      <text>
        <r>
          <rPr>
            <sz val="9"/>
            <rFont val="宋体"/>
            <charset val="134"/>
          </rPr>
          <t>LJG:
净现值</t>
        </r>
      </text>
    </comment>
    <comment ref="A18" authorId="0">
      <text>
        <r>
          <rPr>
            <sz val="9"/>
            <rFont val="宋体"/>
            <charset val="134"/>
          </rPr>
          <t>LJG:
内部收益率</t>
        </r>
      </text>
    </comment>
    <comment ref="A20" authorId="0">
      <text>
        <r>
          <rPr>
            <sz val="9"/>
            <rFont val="宋体"/>
            <charset val="134"/>
          </rPr>
          <t>LJG:
修正内部收益率</t>
        </r>
      </text>
    </comment>
    <comment ref="A22" authorId="0">
      <text>
        <r>
          <rPr>
            <sz val="9"/>
            <rFont val="宋体"/>
            <charset val="134"/>
          </rPr>
          <t>LJG:
根据备选方案的模型测算结果来选择最优方案。</t>
        </r>
      </text>
    </comment>
  </commentList>
</comments>
</file>

<file path=xl/comments2.xml><?xml version="1.0" encoding="utf-8"?>
<comments xmlns="http://schemas.openxmlformats.org/spreadsheetml/2006/main">
  <authors>
    <author>LJG</author>
  </authors>
  <commentList>
    <comment ref="B4" authorId="0">
      <text>
        <r>
          <rPr>
            <sz val="9"/>
            <rFont val="宋体"/>
            <charset val="134"/>
          </rPr>
          <t>LJG:
可修改为：期末余额</t>
        </r>
      </text>
    </comment>
    <comment ref="C4" authorId="0">
      <text>
        <r>
          <rPr>
            <sz val="9"/>
            <rFont val="宋体"/>
            <charset val="134"/>
          </rPr>
          <t>LJG:
可修改为：期初余额（定基比较）或上期余额（环比比较）。但要注意口径的一致性。</t>
        </r>
      </text>
    </comment>
    <comment ref="E4" authorId="0">
      <text>
        <r>
          <rPr>
            <sz val="9"/>
            <rFont val="宋体"/>
            <charset val="134"/>
          </rPr>
          <t>LJG:
可修改为：期末余额</t>
        </r>
      </text>
    </comment>
    <comment ref="F4" authorId="0">
      <text>
        <r>
          <rPr>
            <sz val="9"/>
            <rFont val="宋体"/>
            <charset val="134"/>
          </rPr>
          <t>LJG:
可修改为：期初余额（定基比较）或上期余额（环比比较）。但要注意口径的一致性。</t>
        </r>
      </text>
    </comment>
  </commentList>
</comments>
</file>

<file path=xl/comments20.xml><?xml version="1.0" encoding="utf-8"?>
<comments xmlns="http://schemas.openxmlformats.org/spreadsheetml/2006/main">
  <authors>
    <author>LJG</author>
  </authors>
  <commentList>
    <comment ref="F4" authorId="0">
      <text>
        <r>
          <rPr>
            <sz val="9"/>
            <rFont val="宋体"/>
            <charset val="134"/>
          </rPr>
          <t>LJG:
根据公司实际增加可说明信息，增加可理解性。</t>
        </r>
      </text>
    </comment>
    <comment ref="A8" authorId="0">
      <text>
        <r>
          <rPr>
            <sz val="9"/>
            <rFont val="宋体"/>
            <charset val="134"/>
          </rPr>
          <t>LJG:
本模型新旧设备最长尚可使用年限皆为5年，若尚可使用年限超过5年的话，相应黄色区域公式须作相应调整。</t>
        </r>
      </text>
    </comment>
    <comment ref="A11" authorId="0">
      <text>
        <r>
          <rPr>
            <sz val="9"/>
            <rFont val="宋体"/>
            <charset val="134"/>
          </rPr>
          <t>LJG:
预计净残值为金额，不是净残值率。</t>
        </r>
      </text>
    </comment>
    <comment ref="B12" authorId="0">
      <text>
        <r>
          <rPr>
            <sz val="9"/>
            <rFont val="宋体"/>
            <charset val="134"/>
          </rPr>
          <t>LJG:
为当前旧设备若处置可取得的变现收入。</t>
        </r>
      </text>
    </comment>
    <comment ref="D12" authorId="0">
      <text>
        <r>
          <rPr>
            <sz val="9"/>
            <rFont val="宋体"/>
            <charset val="134"/>
          </rPr>
          <t>LJG:
新设备为预备将要更新的设备，则无可变现收入金额，本项目应为0。</t>
        </r>
      </text>
    </comment>
    <comment ref="A13" authorId="0">
      <text>
        <r>
          <rPr>
            <sz val="9"/>
            <rFont val="宋体"/>
            <charset val="134"/>
          </rPr>
          <t>LJG:
根据公司实际修改为直线法、年数总和法或双倍余额递减法等不同折旧方法，其相应年折旧额函数公式须作相应调整。</t>
        </r>
      </text>
    </comment>
    <comment ref="B16" authorId="0">
      <text>
        <r>
          <rPr>
            <sz val="9"/>
            <rFont val="宋体"/>
            <charset val="134"/>
          </rPr>
          <t>LJG:
根据公司实际平均资金成本率确定，如借款年利率等。</t>
        </r>
      </text>
    </comment>
    <comment ref="D16" authorId="0">
      <text>
        <r>
          <rPr>
            <sz val="9"/>
            <rFont val="宋体"/>
            <charset val="134"/>
          </rPr>
          <t>LJG:
根据公司实际平均所得税税率确定。</t>
        </r>
      </text>
    </comment>
    <comment ref="C18" authorId="0">
      <text>
        <r>
          <rPr>
            <sz val="9"/>
            <rFont val="宋体"/>
            <charset val="134"/>
          </rPr>
          <t>LJG:
根据公司实际增加可说明信息，增加可理解性。</t>
        </r>
      </text>
    </comment>
    <comment ref="F18" authorId="0">
      <text>
        <r>
          <rPr>
            <sz val="9"/>
            <rFont val="宋体"/>
            <charset val="134"/>
          </rPr>
          <t>LJG:
根据公司实际增加可说明信息，增加可理解性。</t>
        </r>
      </text>
    </comment>
    <comment ref="A19" authorId="0">
      <text>
        <r>
          <rPr>
            <sz val="9"/>
            <rFont val="宋体"/>
            <charset val="134"/>
          </rPr>
          <t>LJG:
根据实际情况若不是采用直线法，则预计使用年限应修改为尚可使用年限。</t>
        </r>
      </text>
    </comment>
    <comment ref="A25" authorId="0">
      <text>
        <r>
          <rPr>
            <sz val="9"/>
            <rFont val="宋体"/>
            <charset val="134"/>
          </rPr>
          <t>LJG:
必须为数字格式，不得修改为“第几年”等其他格式。</t>
        </r>
      </text>
    </comment>
    <comment ref="A28" authorId="0">
      <text>
        <r>
          <rPr>
            <sz val="9"/>
            <rFont val="宋体"/>
            <charset val="134"/>
          </rPr>
          <t>LJG:
采用的是直线法折旧，若修改折旧方法，函数公式须做相应修改。
注意采用双倍余额递减法时，最后两年应修改为直线法折旧。</t>
        </r>
      </text>
    </comment>
    <comment ref="A33" authorId="0">
      <text>
        <r>
          <rPr>
            <sz val="9"/>
            <rFont val="宋体"/>
            <charset val="134"/>
          </rPr>
          <t>LJG:
根据旧设备终结点残值处置收入进行折现后按实际手工填写，一般只在终结点有数据。</t>
        </r>
      </text>
    </comment>
    <comment ref="A36" authorId="0">
      <text>
        <r>
          <rPr>
            <sz val="9"/>
            <rFont val="宋体"/>
            <charset val="134"/>
          </rPr>
          <t>LJG:
必须为数字格式，不得修改为“第几年”等其他格式。</t>
        </r>
      </text>
    </comment>
    <comment ref="A39" authorId="0">
      <text>
        <r>
          <rPr>
            <sz val="9"/>
            <rFont val="宋体"/>
            <charset val="134"/>
          </rPr>
          <t>LJG:
采用的是年数总和法折旧，若修改折旧方法，函数公式须做相应修改。
注意采用双倍余额递减法时，最后两年应修改为直线法折旧。</t>
        </r>
      </text>
    </comment>
    <comment ref="A44" authorId="0">
      <text>
        <r>
          <rPr>
            <sz val="9"/>
            <rFont val="宋体"/>
            <charset val="134"/>
          </rPr>
          <t>LJG:
根据新设备终结点残值处置收入进行折现后按实际手工填写，一般只在终结点有数据。</t>
        </r>
      </text>
    </comment>
    <comment ref="A48" authorId="0">
      <text>
        <r>
          <rPr>
            <sz val="9"/>
            <rFont val="宋体"/>
            <charset val="134"/>
          </rPr>
          <t>LJG:
采用双倍余额递减法最后两年应扣除已提取的折旧和残值后的余额调整成直线法折旧。</t>
        </r>
      </text>
    </comment>
    <comment ref="E48" authorId="0">
      <text>
        <r>
          <rPr>
            <sz val="9"/>
            <rFont val="宋体"/>
            <charset val="134"/>
          </rPr>
          <t>LJG:
双倍余额递减法最后两年修改为直线法折旧。</t>
        </r>
      </text>
    </comment>
    <comment ref="F48" authorId="0">
      <text>
        <r>
          <rPr>
            <sz val="9"/>
            <rFont val="宋体"/>
            <charset val="134"/>
          </rPr>
          <t>LJG:
双倍余额递减法最后两年修改为直线法折旧。</t>
        </r>
      </text>
    </comment>
  </commentList>
</comments>
</file>

<file path=xl/comments21.xml><?xml version="1.0" encoding="utf-8"?>
<comments xmlns="http://schemas.openxmlformats.org/spreadsheetml/2006/main">
  <authors>
    <author>LJG</author>
  </authors>
  <commentList>
    <comment ref="A1" authorId="0">
      <text>
        <r>
          <rPr>
            <sz val="9"/>
            <rFont val="宋体"/>
            <charset val="134"/>
          </rPr>
          <t>LJG:
简化模型</t>
        </r>
      </text>
    </comment>
    <comment ref="D5" authorId="0">
      <text>
        <r>
          <rPr>
            <sz val="9"/>
            <rFont val="宋体"/>
            <charset val="134"/>
          </rPr>
          <t>LJG:
参考指标</t>
        </r>
      </text>
    </comment>
    <comment ref="E5" authorId="0">
      <text>
        <r>
          <rPr>
            <sz val="9"/>
            <rFont val="宋体"/>
            <charset val="134"/>
          </rPr>
          <t>LJG:
根据预计的合理性和可行性等来进行修改。</t>
        </r>
      </text>
    </comment>
    <comment ref="A23" authorId="0">
      <text>
        <r>
          <rPr>
            <sz val="9"/>
            <rFont val="宋体"/>
            <charset val="134"/>
          </rPr>
          <t>LJG:
根据实际调整。</t>
        </r>
      </text>
    </comment>
    <comment ref="H23" authorId="0">
      <text>
        <r>
          <rPr>
            <sz val="9"/>
            <rFont val="宋体"/>
            <charset val="134"/>
          </rPr>
          <t>LJG:
根据预计调整。</t>
        </r>
      </text>
    </comment>
  </commentList>
</comments>
</file>

<file path=xl/comments22.xml><?xml version="1.0" encoding="utf-8"?>
<comments xmlns="http://schemas.openxmlformats.org/spreadsheetml/2006/main">
  <authors>
    <author>LJG</author>
  </authors>
  <commentList>
    <comment ref="A21" authorId="0">
      <text>
        <r>
          <rPr>
            <sz val="9"/>
            <rFont val="宋体"/>
            <charset val="134"/>
          </rPr>
          <t>LJG:
手工输入实际订货量（在经济订货量附近选样）进行相关测算，可得出EOQ下的年总成本金额最低。</t>
        </r>
      </text>
    </comment>
  </commentList>
</comments>
</file>

<file path=xl/comments23.xml><?xml version="1.0" encoding="utf-8"?>
<comments xmlns="http://schemas.openxmlformats.org/spreadsheetml/2006/main">
  <authors>
    <author>LJG</author>
  </authors>
  <commentList>
    <comment ref="A10" authorId="0">
      <text>
        <r>
          <rPr>
            <sz val="9"/>
            <rFont val="宋体"/>
            <charset val="134"/>
          </rPr>
          <t>LJG:
根据合同约定实际租赁年利率填写。</t>
        </r>
      </text>
    </comment>
    <comment ref="A11" authorId="0">
      <text>
        <r>
          <rPr>
            <sz val="9"/>
            <rFont val="宋体"/>
            <charset val="134"/>
          </rPr>
          <t>LJG:
前提是租金要每次等额支付。</t>
        </r>
      </text>
    </comment>
  </commentList>
</comments>
</file>

<file path=xl/comments24.xml><?xml version="1.0" encoding="utf-8"?>
<comments xmlns="http://schemas.openxmlformats.org/spreadsheetml/2006/main">
  <authors>
    <author>LJG</author>
  </authors>
  <commentList>
    <comment ref="H4" authorId="0">
      <text>
        <r>
          <rPr>
            <sz val="9"/>
            <rFont val="宋体"/>
            <charset val="134"/>
          </rPr>
          <t>LJG:
本模型按揭贷款年限设定的为10年，若按揭年限不等于10年，则应相应调整等本还款和等额还款的期数及其对应函数公式。</t>
        </r>
      </text>
    </comment>
    <comment ref="H7" authorId="0">
      <text>
        <r>
          <rPr>
            <sz val="9"/>
            <rFont val="宋体"/>
            <charset val="134"/>
          </rPr>
          <t>LJG:
直接输入当前期数，取值范围为：1——贷款年限*12</t>
        </r>
      </text>
    </comment>
    <comment ref="J8" authorId="0">
      <text>
        <r>
          <rPr>
            <sz val="9"/>
            <rFont val="宋体"/>
            <charset val="134"/>
          </rPr>
          <t>LJG:
下拉箭头选择等本还款还是等额还款方式。</t>
        </r>
      </text>
    </comment>
  </commentList>
</comments>
</file>

<file path=xl/comments25.xml><?xml version="1.0" encoding="utf-8"?>
<comments xmlns="http://schemas.openxmlformats.org/spreadsheetml/2006/main">
  <authors>
    <author>LJG</author>
  </authors>
  <commentList>
    <comment ref="D3" authorId="0">
      <text>
        <r>
          <rPr>
            <sz val="9"/>
            <rFont val="宋体"/>
            <charset val="134"/>
          </rPr>
          <t>LJG:
手动输入取值范围：0——100</t>
        </r>
      </text>
    </comment>
    <comment ref="D8" authorId="0">
      <text>
        <r>
          <rPr>
            <sz val="9"/>
            <rFont val="宋体"/>
            <charset val="134"/>
          </rPr>
          <t>LJG:
变化百分比</t>
        </r>
      </text>
    </comment>
  </commentList>
</comments>
</file>

<file path=xl/comments26.xml><?xml version="1.0" encoding="utf-8"?>
<comments xmlns="http://schemas.openxmlformats.org/spreadsheetml/2006/main">
  <authors>
    <author>LJG</author>
  </authors>
  <commentList>
    <comment ref="H4" authorId="0">
      <text>
        <r>
          <rPr>
            <sz val="9"/>
            <rFont val="宋体"/>
            <charset val="134"/>
          </rPr>
          <t>LJG:
本模型按揭贷款年限设定的为10年，若按揭年限不等于10年，则应相应调整等本还款和等额还款的期数及其对应函数公式。
另外，修改贷款年限须调整当前期数控制条最大值。</t>
        </r>
      </text>
    </comment>
    <comment ref="H7" authorId="0">
      <text>
        <r>
          <rPr>
            <sz val="9"/>
            <rFont val="宋体"/>
            <charset val="134"/>
          </rPr>
          <t>LJG:
直接输入当前期数，取值范围为：1——贷款年限*12</t>
        </r>
      </text>
    </comment>
    <comment ref="J8" authorId="0">
      <text>
        <r>
          <rPr>
            <sz val="9"/>
            <rFont val="宋体"/>
            <charset val="134"/>
          </rPr>
          <t>LJG:
下拉箭头选择等本还款还是等额还款方式。</t>
        </r>
      </text>
    </comment>
  </commentList>
</comments>
</file>

<file path=xl/comments27.xml><?xml version="1.0" encoding="utf-8"?>
<comments xmlns="http://schemas.openxmlformats.org/spreadsheetml/2006/main">
  <authors>
    <author>LJG</author>
  </authors>
  <commentList>
    <comment ref="H4" authorId="0">
      <text>
        <r>
          <rPr>
            <sz val="9"/>
            <rFont val="宋体"/>
            <charset val="134"/>
          </rPr>
          <t>LJG:
本模型按揭贷款年限设定的为10年，若按揭年限不等于10年，则应相应调整等本还款和等额还款的期数及其对应函数公式。
另外，修改贷款年限须调整当前期数控制条最大值。</t>
        </r>
      </text>
    </comment>
    <comment ref="H7" authorId="0">
      <text>
        <r>
          <rPr>
            <sz val="9"/>
            <rFont val="宋体"/>
            <charset val="134"/>
          </rPr>
          <t>LJG:
直接输入当前期数，取值范围为：1——贷款年限*12</t>
        </r>
      </text>
    </comment>
    <comment ref="J8" authorId="0">
      <text>
        <r>
          <rPr>
            <sz val="9"/>
            <rFont val="宋体"/>
            <charset val="134"/>
          </rPr>
          <t>LJG:
下拉箭头选择等本还款还是等额还款方式。</t>
        </r>
      </text>
    </comment>
  </commentList>
</comments>
</file>

<file path=xl/comments28.xml><?xml version="1.0" encoding="utf-8"?>
<comments xmlns="http://schemas.openxmlformats.org/spreadsheetml/2006/main">
  <authors>
    <author>LJG</author>
  </authors>
  <commentList>
    <comment ref="A1" authorId="0">
      <text>
        <r>
          <rPr>
            <sz val="9"/>
            <rFont val="宋体"/>
            <charset val="134"/>
          </rPr>
          <t>LJG:
本量利CPV分析6个假设：成本按性态分类；单一成本动因；相关范围和线性相关；产销平衡；产品品种结构不变；变动成本法。
敏感系数=利润变动百分比/因素变动百分比</t>
        </r>
      </text>
    </comment>
    <comment ref="A3" authorId="0">
      <text>
        <r>
          <rPr>
            <sz val="9"/>
            <rFont val="宋体"/>
            <charset val="134"/>
          </rPr>
          <t>LJG:
本模型是单一产品分析模型，若是存在多品种的话，可采用销售金额配合法、销售数量配合法和分别测算法等。
销售金额配合法也叫加权平均法：先计算出全部产品销售额，再计算出各种产品销售额所占比重，然后用每种产品的边际贡献率乘以该种产品的销售比重进行加权相加得出平均边际贡献率，进而计算出全部产品的保本销售额，最后根据各种产品的销售比重和全部产品的保本销售额计算出各种产品的保本销售额和保本销售量。</t>
        </r>
      </text>
    </comment>
    <comment ref="D3" authorId="0">
      <text>
        <r>
          <rPr>
            <sz val="9"/>
            <rFont val="宋体"/>
            <charset val="134"/>
          </rPr>
          <t>LJG:
手动输入取值范围：0——100</t>
        </r>
      </text>
    </comment>
    <comment ref="A4" authorId="0">
      <text>
        <r>
          <rPr>
            <sz val="9"/>
            <rFont val="宋体"/>
            <charset val="134"/>
          </rPr>
          <t>LJG:
税前目标利润销售量=（税前目标利润+固定成本）/（单价-单位变动成本）
税前目标利润=税后目标利润/（1-所得税税率）
税前目标利润销售额=（税前目标利润+固定成本）/单位边际贡献率
单位边际贡献率=（单价-单位变动成本）/单价*100%</t>
        </r>
      </text>
    </comment>
    <comment ref="A8" authorId="0">
      <text>
        <r>
          <rPr>
            <sz val="9"/>
            <rFont val="宋体"/>
            <charset val="134"/>
          </rPr>
          <t>LJG:
盈亏平衡点产量也就是企业产品的边际利润累计达到固定费用总额时的产量，在固定费用可以忽略不计的情况下，产品的边际利润就是企业的实现利润。
边际利润用途A、决定企业生产的某一产品是否应该停产。只要亏损产品存在边际利润（即它的销售收入大于其变动成本），就应应该继续生产。B、判断企业产品结构是否合理。如果企业生产的所有产品均有边际利润，则说明企业的产品结构基本上合理。C、停止某一产品的生产必须要以其他产品增产所带来的边际利润大于停产产品的边际利润为前提。</t>
        </r>
      </text>
    </comment>
    <comment ref="D8" authorId="0">
      <text>
        <r>
          <rPr>
            <sz val="9"/>
            <rFont val="宋体"/>
            <charset val="134"/>
          </rPr>
          <t>LJG:
变化百分比</t>
        </r>
      </text>
    </comment>
  </commentList>
</comments>
</file>

<file path=xl/comments29.xml><?xml version="1.0" encoding="utf-8"?>
<comments xmlns="http://schemas.openxmlformats.org/spreadsheetml/2006/main">
  <authors>
    <author>LJG</author>
  </authors>
  <commentList>
    <comment ref="A1" authorId="0">
      <text>
        <r>
          <rPr>
            <sz val="9"/>
            <rFont val="宋体"/>
            <charset val="134"/>
          </rPr>
          <t>LJG:
经营杠杆系数指息税前利润变动率相对于销售额变动率的倍数。高于5为经营风险明显企业，其偿债能力与经济效益高低关系密切；低于5为经营风险部明显企业，其偿债能力主要取决于企业资产的流动性，与经济效益的高低关系较弱。
经营杠杆系数DOL=(息税前利润EBIT+固定成本F)/息税前利润EBIT
财务杠杆系数是指普通股每股税后利润变动率相对于税前利润变动率的倍数。把财务杠杆系数在0.9～1.1之间的企业称为财务风险不敏感型企业；&lt;0.9的，称负效应且财务风险敏感型企业；&gt;1.1的，称正效应且财务风险敏感型企业。
财务杠杆系数DFL=息税前利润EBIT/[息税前利润EBIT-利息I-优先股股利D/(1-所得税税率T)]
总杠杆系数指当营业收入每增减1倍时，就会造成每股收益增减的倍数。
总杠杆系数DTL=财务杠杆系数DFL*经营杠杆系数DOL</t>
        </r>
      </text>
    </comment>
    <comment ref="A7" authorId="0">
      <text>
        <r>
          <rPr>
            <sz val="9"/>
            <rFont val="宋体"/>
            <charset val="134"/>
          </rPr>
          <t>LJG:
营业杠杆产生的原因是由于固定成本的存在，如果不存在固定成本，杠杆系数=1，利润变动幅度与销售变动幅度相同，不存在营业杠杆系数。
营业杠杆系数=净收益变动率/销售量变动率=边际贡献/净收益=1+固定成本/净收益=销售量Q*（单位售价P-单位变动成本V）/[销售量Q*（单位售价P-单位变动成本V）-固定成本F</t>
        </r>
      </text>
    </comment>
    <comment ref="A14" authorId="0">
      <text>
        <r>
          <rPr>
            <sz val="9"/>
            <rFont val="宋体"/>
            <charset val="134"/>
          </rPr>
          <t>LJG:
也称安全边际率，是指企业的经营规模（一般是以销售量来表示）超过盈亏平衡点的程度，是判断企业经营的安全指标。
经营安全率是从企业利润相对大小的角度评价企业目前的经营状况，其大小反映发生亏损的可能性。企业的经营状况可以用企业的经营安全率指标进行粗略的判断。</t>
        </r>
      </text>
    </comment>
    <comment ref="C14" authorId="0">
      <text>
        <r>
          <rPr>
            <sz val="9"/>
            <rFont val="宋体"/>
            <charset val="134"/>
          </rPr>
          <t>LJG:
经营安全率η=（计划或实现的销售量Q－保本销售量Q0）÷计划或实现的销售量Q</t>
        </r>
      </text>
    </comment>
    <comment ref="A15" authorId="0">
      <text>
        <r>
          <rPr>
            <sz val="9"/>
            <rFont val="宋体"/>
            <charset val="134"/>
          </rPr>
          <t>LJG:
提升经营安全率的途径：（1）一是增加产量后能保持盈亏平衡点不变，经营安全率就会大大地增加；（2）二是降低固定费用和单位变动费用，达到降低盈亏平衡点产量或销量，以达到增大经营安全率的目的。</t>
        </r>
      </text>
    </comment>
    <comment ref="C15" authorId="0">
      <text>
        <r>
          <rPr>
            <sz val="9"/>
            <rFont val="宋体"/>
            <charset val="134"/>
          </rPr>
          <t>LJG:
经营安全率η=（计划或实现的销售收入S－盈亏平衡点的销售收入S0）÷计划或实现的销售收入S</t>
        </r>
      </text>
    </comment>
    <comment ref="A16" authorId="0">
      <text>
        <r>
          <rPr>
            <sz val="9"/>
            <rFont val="宋体"/>
            <charset val="134"/>
          </rPr>
          <t>LJG:
当销售量或销售收入越大时，企业经营安全率（安全边际率）就越接近于1，说明企业经营越安全，亏损风险越小；若越接近于0时，企业亏损风险就越大。据有关资料表明：经营安全率η，在40%以上为很安全；在30%～40%为较安全；20%～30%为不大好；10%～20%为警惕；10%以下为危险。</t>
        </r>
      </text>
    </comment>
    <comment ref="C18" authorId="0">
      <text>
        <r>
          <rPr>
            <sz val="9"/>
            <rFont val="宋体"/>
            <charset val="134"/>
          </rPr>
          <t>LJG:
可根据资产负债表填列，也可根据预算来填列。</t>
        </r>
      </text>
    </comment>
    <comment ref="A19" authorId="0">
      <text>
        <r>
          <rPr>
            <sz val="9"/>
            <rFont val="宋体"/>
            <charset val="134"/>
          </rPr>
          <t>LJG:
要计算资产变现率，首先应按照流动资产和非流动资产项目逐项推算其实际可变现金额，然后计算合计额在资产负债表的资产合计总额中所占的比例。</t>
        </r>
      </text>
    </comment>
    <comment ref="C20" authorId="0">
      <text>
        <r>
          <rPr>
            <sz val="9"/>
            <rFont val="宋体"/>
            <charset val="134"/>
          </rPr>
          <t>LJG:
可根据资产负债表填列，也可根据预算来填列。</t>
        </r>
      </text>
    </comment>
    <comment ref="A23" authorId="0">
      <text>
        <r>
          <rPr>
            <sz val="9"/>
            <rFont val="宋体"/>
            <charset val="134"/>
          </rPr>
          <t>LJG:
资金安全率反映的是资产的可变现价值对负债的保障程度。
提升资金安全率的途径：在其他条件不变情况下，借入资本的比率越低(或者说自有资本比率越高)，资金安全率越高；资产变现率越大，资金安全率越高。</t>
        </r>
      </text>
    </comment>
    <comment ref="A26" authorId="0">
      <text>
        <r>
          <rPr>
            <sz val="9"/>
            <rFont val="宋体"/>
            <charset val="134"/>
          </rPr>
          <t>LJG:
盈亏平衡点安全率=100%－盈亏平衡点销售额÷计划或实现的销售额
其中：盈亏平衡点销售额=固定成本÷（1－变动成本÷计划或实现的销售额）</t>
        </r>
      </text>
    </comment>
    <comment ref="A28" authorId="0">
      <text>
        <r>
          <rPr>
            <sz val="9"/>
            <rFont val="宋体"/>
            <charset val="134"/>
          </rPr>
          <t>LJG:
企业安全率由盈亏平衡点安全率和资金安全率构成。企业安全率指标主要取决于体现经营风险的安全边际率（即经营安全率）和体现财务风险的资金安全率。</t>
        </r>
      </text>
    </comment>
    <comment ref="D28" authorId="0">
      <text>
        <r>
          <rPr>
            <sz val="9"/>
            <rFont val="宋体"/>
            <charset val="134"/>
          </rPr>
          <t>LJG:
特别注意为负数的结构要进行具体分析是经营安全率为负还是资金安全率为负。</t>
        </r>
      </text>
    </comment>
    <comment ref="A29" authorId="0">
      <text>
        <r>
          <rPr>
            <sz val="9"/>
            <rFont val="宋体"/>
            <charset val="134"/>
          </rPr>
          <t>LJG:
根据两个比率的不同集合情况，可以了解企业的经营现状，并寻求企业财务状况改善方向。一般说来，当两个安全率指标均大于0时，企业经营状况良好，可适当采取扩张策略；当资金安全率为正，而盈亏平衡点安全率小于0时，表示企业财务状况良好，但营销能力不足，应加强营销管理，增加企业的创造利润的能力；当企业盈亏平衡点安全率大于0，而资金安全率为负时，表明企业财务状况已露出险兆，应积极创造自有资金进行开源节流、改善财务结构，成为企业的首要任务；当企业的两个安全率指标均小于0时，则表明企业的经营已经陷入危机境地，随时都有倒闭的危险。</t>
        </r>
      </text>
    </comment>
  </commentList>
</comments>
</file>

<file path=xl/comments3.xml><?xml version="1.0" encoding="utf-8"?>
<comments xmlns="http://schemas.openxmlformats.org/spreadsheetml/2006/main">
  <authors>
    <author>LJG</author>
  </authors>
  <commentList>
    <comment ref="B4" authorId="0">
      <text>
        <r>
          <rPr>
            <sz val="9"/>
            <rFont val="宋体"/>
            <charset val="134"/>
          </rPr>
          <t>LJG:
可修改为：期末比率</t>
        </r>
      </text>
    </comment>
    <comment ref="C4" authorId="0">
      <text>
        <r>
          <rPr>
            <sz val="9"/>
            <rFont val="宋体"/>
            <charset val="134"/>
          </rPr>
          <t>LJG:
可修改为：期初比率（定基比较）或上期比率（环比比较）。但要注意口径的一致性。</t>
        </r>
      </text>
    </comment>
    <comment ref="F4" authorId="0">
      <text>
        <r>
          <rPr>
            <sz val="9"/>
            <rFont val="宋体"/>
            <charset val="134"/>
          </rPr>
          <t>LJG:
可修改为：期末比率</t>
        </r>
      </text>
    </comment>
    <comment ref="G4" authorId="0">
      <text>
        <r>
          <rPr>
            <sz val="9"/>
            <rFont val="宋体"/>
            <charset val="134"/>
          </rPr>
          <t>LJG:
可修改为：期初比率（定基比较）或上期比率（环比比较）。但要注意口径的一致性。</t>
        </r>
      </text>
    </comment>
    <comment ref="D37" authorId="0">
      <text>
        <r>
          <rPr>
            <sz val="9"/>
            <rFont val="宋体"/>
            <charset val="134"/>
          </rPr>
          <t>LJG:
本变动为本期末比期初增长比率。</t>
        </r>
      </text>
    </comment>
    <comment ref="H37" authorId="0">
      <text>
        <r>
          <rPr>
            <sz val="9"/>
            <rFont val="宋体"/>
            <charset val="134"/>
          </rPr>
          <t>LJG:
本变动为本期末比期初增长比率。</t>
        </r>
      </text>
    </comment>
  </commentList>
</comments>
</file>

<file path=xl/comments30.xml><?xml version="1.0" encoding="utf-8"?>
<comments xmlns="http://schemas.openxmlformats.org/spreadsheetml/2006/main">
  <authors>
    <author>Think</author>
    <author>LJG</author>
  </authors>
  <commentList>
    <comment ref="A1" authorId="0">
      <text>
        <r>
          <rPr>
            <sz val="9"/>
            <rFont val="宋体"/>
            <charset val="134"/>
          </rPr>
          <t>LJG:
经济时间序列的变化受许多因素的影响，概括地讲，可以将影响时间序列变化的因素分为四种，即长期趋势因素T、季节变动因素S、周期变动因素C和不规则变动因素I。事实上，有些现象的时间序列并非四种因素均存在，有时仅有T、S和C，或其他形式。
本模型采用乘法模型：Yt=Tt*St*Ct*It</t>
        </r>
      </text>
    </comment>
    <comment ref="A3" authorId="0">
      <text>
        <r>
          <rPr>
            <sz val="9"/>
            <rFont val="宋体"/>
            <charset val="134"/>
          </rPr>
          <t>LJG:
可根据需要修改为小时、天、周、月、季、半年、年或其他规则的间隔时间进行。</t>
        </r>
      </text>
    </comment>
    <comment ref="C3" authorId="0">
      <text>
        <r>
          <rPr>
            <sz val="9"/>
            <rFont val="宋体"/>
            <charset val="134"/>
          </rPr>
          <t>LJG:
已知的是历史数据（白色区域），求解的是未来数据（红色数据）。可根据需要修改Y表示内容。</t>
        </r>
      </text>
    </comment>
    <comment ref="D3" authorId="0">
      <text>
        <r>
          <rPr>
            <sz val="9"/>
            <rFont val="宋体"/>
            <charset val="134"/>
          </rPr>
          <t>LJG:
步长值为4，空4-1=3格。如已知数据为月份数，则步长值12，空12-1=11格。</t>
        </r>
      </text>
    </comment>
    <comment ref="E3" authorId="0">
      <text>
        <r>
          <rPr>
            <sz val="9"/>
            <rFont val="宋体"/>
            <charset val="134"/>
          </rPr>
          <t>LJG:
步长值为2，空2-1=1格，再增加一空格。</t>
        </r>
      </text>
    </comment>
    <comment ref="F3" authorId="0">
      <text>
        <r>
          <rPr>
            <sz val="9"/>
            <rFont val="宋体"/>
            <charset val="134"/>
          </rPr>
          <t>LJG:
不规则因素I是一种残余或者综合因素，是一种不可预测的偏差。不规则变动因素I的计算：当将时间序列的T、S、C分解出来后，剩余的即为不规则变动，即：I=Y/TSC，由于不规则变动因素是不可预测的，因此，分解出不规则变动因素对于时间序列的预测没有多少价值。</t>
        </r>
      </text>
    </comment>
    <comment ref="G3" authorId="0">
      <text>
        <r>
          <rPr>
            <sz val="9"/>
            <rFont val="宋体"/>
            <charset val="134"/>
          </rPr>
          <t>LJG:
许多时间序列表现出一种以1年为一个周期的规则的变动形态。</t>
        </r>
      </text>
    </comment>
    <comment ref="H3" authorId="0">
      <text>
        <r>
          <rPr>
            <sz val="9"/>
            <rFont val="宋体"/>
            <charset val="134"/>
          </rPr>
          <t>LJG:
尽管时间序列数据通常表现出随机波动，但是在一个较长的时段中，时间序列仍可能表现出向一个更高值或者更低值的渐进的变化或者移动趋势。</t>
        </r>
      </text>
    </comment>
    <comment ref="I3" authorId="0">
      <text>
        <r>
          <rPr>
            <sz val="9"/>
            <rFont val="宋体"/>
            <charset val="134"/>
          </rPr>
          <t>LJG:
时间序列常表现为交替出现于趋势线的上方和下方的点序列并持续一年以上。</t>
        </r>
      </text>
    </comment>
    <comment ref="B27" authorId="0">
      <text>
        <r>
          <rPr>
            <sz val="9"/>
            <rFont val="宋体"/>
            <charset val="134"/>
          </rPr>
          <t>LJG:
根据回归函数取值，根据数据的变化创建新的回归函数方程。</t>
        </r>
      </text>
    </comment>
    <comment ref="D27" authorId="0">
      <text>
        <r>
          <rPr>
            <sz val="9"/>
            <rFont val="宋体"/>
            <charset val="134"/>
          </rPr>
          <t>LJG:
根据回归函数取值，根据数据的变化创建新的回归函数方程。</t>
        </r>
      </text>
    </comment>
    <comment ref="B38" authorId="1">
      <text>
        <r>
          <rPr>
            <sz val="9"/>
            <rFont val="宋体"/>
            <charset val="134"/>
          </rPr>
          <t>LJG:
长期趋势</t>
        </r>
      </text>
    </comment>
    <comment ref="C38" authorId="1">
      <text>
        <r>
          <rPr>
            <sz val="9"/>
            <rFont val="宋体"/>
            <charset val="134"/>
          </rPr>
          <t>LJG:
季节因素</t>
        </r>
      </text>
    </comment>
    <comment ref="D38" authorId="1">
      <text>
        <r>
          <rPr>
            <sz val="9"/>
            <rFont val="宋体"/>
            <charset val="134"/>
          </rPr>
          <t>LJG:
周期因素,根据周期变化平均或估计得出周期系数。</t>
        </r>
      </text>
    </comment>
  </commentList>
</comments>
</file>

<file path=xl/comments31.xml><?xml version="1.0" encoding="utf-8"?>
<comments xmlns="http://schemas.openxmlformats.org/spreadsheetml/2006/main">
  <authors>
    <author>Think</author>
  </authors>
  <commentList>
    <comment ref="A1" authorId="0">
      <text>
        <r>
          <rPr>
            <sz val="9"/>
            <rFont val="宋体"/>
            <charset val="134"/>
          </rPr>
          <t>LJG:
现金预算由四部分组成：现金收入、现金支出、现金多余或不足、现金的筹措和运用。
现金预算编制的目的在于资金不足时筹措资金，资金多余时及时处理现金余额，并且提供现金收支的控制限额，发挥现金管理的作用。</t>
        </r>
      </text>
    </comment>
    <comment ref="A3" authorId="0">
      <text>
        <r>
          <rPr>
            <sz val="9"/>
            <rFont val="宋体"/>
            <charset val="134"/>
          </rPr>
          <t>LJG:
修改填写预算年度。</t>
        </r>
      </text>
    </comment>
    <comment ref="A4" authorId="0">
      <text>
        <r>
          <rPr>
            <sz val="9"/>
            <rFont val="宋体"/>
            <charset val="134"/>
          </rPr>
          <t>LJG:
是在编制预算时预计的。</t>
        </r>
      </text>
    </comment>
    <comment ref="A5" authorId="0">
      <text>
        <r>
          <rPr>
            <sz val="9"/>
            <rFont val="宋体"/>
            <charset val="134"/>
          </rPr>
          <t>LJG:
数据来自于销售预算。</t>
        </r>
      </text>
    </comment>
    <comment ref="A17" authorId="0">
      <text>
        <r>
          <rPr>
            <sz val="9"/>
            <rFont val="宋体"/>
            <charset val="134"/>
          </rPr>
          <t>LJG:
正数代表多余，可用于偿还过去向银行取得的借款或者用于短期投资；负数代表不足，要向银行取得新的借款。
注意现金余额的报警数设置，低于预警数时需要向银行借款。</t>
        </r>
      </text>
    </comment>
    <comment ref="A18" authorId="0">
      <text>
        <r>
          <rPr>
            <sz val="9"/>
            <rFont val="宋体"/>
            <charset val="134"/>
          </rPr>
          <t>LJG:
借款额=现金预警值+现金不足额</t>
        </r>
      </text>
    </comment>
    <comment ref="A22" authorId="0">
      <text>
        <r>
          <rPr>
            <sz val="9"/>
            <rFont val="宋体"/>
            <charset val="134"/>
          </rPr>
          <t>LJG:
应保持在现金余额预警值之上，各个企业可根据其实际需求设置预警值。</t>
        </r>
      </text>
    </comment>
  </commentList>
</comments>
</file>

<file path=xl/comments32.xml><?xml version="1.0" encoding="utf-8"?>
<comments xmlns="http://schemas.openxmlformats.org/spreadsheetml/2006/main">
  <authors>
    <author>Think</author>
    <author>LJG</author>
  </authors>
  <commentList>
    <comment ref="A1" authorId="0">
      <text>
        <r>
          <rPr>
            <sz val="9"/>
            <rFont val="宋体"/>
            <charset val="134"/>
          </rPr>
          <t>LJG:
可根据自身需求设置为应付账款等其他往来账龄分析表。</t>
        </r>
      </text>
    </comment>
    <comment ref="G2" authorId="1">
      <text>
        <r>
          <rPr>
            <sz val="9"/>
            <rFont val="宋体"/>
            <charset val="134"/>
          </rPr>
          <t>LJG:
当前日期有效性格式：年/月/日</t>
        </r>
      </text>
    </comment>
    <comment ref="A3" authorId="0">
      <text>
        <r>
          <rPr>
            <sz val="9"/>
            <rFont val="宋体"/>
            <charset val="134"/>
          </rPr>
          <t>LJG:
请输入开票日期格式：
年/月/日</t>
        </r>
      </text>
    </comment>
    <comment ref="G3" authorId="0">
      <text>
        <r>
          <rPr>
            <sz val="9"/>
            <rFont val="宋体"/>
            <charset val="134"/>
          </rPr>
          <t>LJG:
输入到期收款天数。</t>
        </r>
      </text>
    </comment>
    <comment ref="H3" authorId="0">
      <text>
        <r>
          <rPr>
            <sz val="9"/>
            <rFont val="宋体"/>
            <charset val="134"/>
          </rPr>
          <t>LJG:
请输入到期日期格式：
年/月/日</t>
        </r>
      </text>
    </comment>
  </commentList>
</comments>
</file>

<file path=xl/comments33.xml><?xml version="1.0" encoding="utf-8"?>
<comments xmlns="http://schemas.openxmlformats.org/spreadsheetml/2006/main">
  <authors>
    <author>LJG</author>
  </authors>
  <commentList>
    <comment ref="B3" authorId="0">
      <text>
        <r>
          <rPr>
            <sz val="9"/>
            <rFont val="宋体"/>
            <charset val="134"/>
          </rPr>
          <t>LJG:
结合企业与行业的实际情况，列举出对企业或行业有重大影响的内外部关键因素。</t>
        </r>
      </text>
    </comment>
    <comment ref="C3" authorId="0">
      <text>
        <r>
          <rPr>
            <sz val="9"/>
            <rFont val="宋体"/>
            <charset val="134"/>
          </rPr>
          <t>LJG:
将所有关键因素排列，按重要性设计权重。</t>
        </r>
      </text>
    </comment>
    <comment ref="D3" authorId="0">
      <text>
        <r>
          <rPr>
            <sz val="9"/>
            <rFont val="宋体"/>
            <charset val="134"/>
          </rPr>
          <t>LJG:
结合企业与行业的实际情况为每个关键因素打分，每个关键因素的满分值是5分。</t>
        </r>
      </text>
    </comment>
    <comment ref="E4" authorId="0">
      <text>
        <r>
          <rPr>
            <sz val="9"/>
            <rFont val="宋体"/>
            <charset val="134"/>
          </rPr>
          <t>LJG:
AS代表备选战略的吸引力分数。</t>
        </r>
      </text>
    </comment>
    <comment ref="F4" authorId="0">
      <text>
        <r>
          <rPr>
            <sz val="9"/>
            <rFont val="宋体"/>
            <charset val="134"/>
          </rPr>
          <t>LJG:
TAS代表备选战略的吸引力总分。</t>
        </r>
      </text>
    </comment>
    <comment ref="G4" authorId="0">
      <text>
        <r>
          <rPr>
            <sz val="9"/>
            <rFont val="宋体"/>
            <charset val="134"/>
          </rPr>
          <t>LJG:
AS代表备选战略的吸引力分数。</t>
        </r>
      </text>
    </comment>
    <comment ref="H4" authorId="0">
      <text>
        <r>
          <rPr>
            <sz val="9"/>
            <rFont val="宋体"/>
            <charset val="134"/>
          </rPr>
          <t>LJG:
TAS代表备选战略的吸引力总分。</t>
        </r>
      </text>
    </comment>
    <comment ref="I4" authorId="0">
      <text>
        <r>
          <rPr>
            <sz val="9"/>
            <rFont val="宋体"/>
            <charset val="134"/>
          </rPr>
          <t>LJG:
AS代表备选战略的吸引力分数。</t>
        </r>
      </text>
    </comment>
    <comment ref="J4" authorId="0">
      <text>
        <r>
          <rPr>
            <sz val="9"/>
            <rFont val="宋体"/>
            <charset val="134"/>
          </rPr>
          <t>LJG:
TAS代表备选战略的吸引力总分。</t>
        </r>
      </text>
    </comment>
    <comment ref="K4" authorId="0">
      <text>
        <r>
          <rPr>
            <sz val="9"/>
            <rFont val="宋体"/>
            <charset val="134"/>
          </rPr>
          <t>LJG:
AS代表备选战略的吸引力分数。</t>
        </r>
      </text>
    </comment>
    <comment ref="L4" authorId="0">
      <text>
        <r>
          <rPr>
            <sz val="9"/>
            <rFont val="宋体"/>
            <charset val="134"/>
          </rPr>
          <t>LJG:
TAS代表备选战略的吸引力总分。</t>
        </r>
      </text>
    </comment>
    <comment ref="M4" authorId="0">
      <text>
        <r>
          <rPr>
            <sz val="9"/>
            <rFont val="宋体"/>
            <charset val="134"/>
          </rPr>
          <t>LJG:
AS代表备选战略的吸引力分数。</t>
        </r>
      </text>
    </comment>
    <comment ref="N4" authorId="0">
      <text>
        <r>
          <rPr>
            <sz val="9"/>
            <rFont val="宋体"/>
            <charset val="134"/>
          </rPr>
          <t>LJG:
TAS代表备选战略的吸引力总分。</t>
        </r>
      </text>
    </comment>
    <comment ref="A5" authorId="0">
      <text>
        <r>
          <rPr>
            <sz val="9"/>
            <rFont val="宋体"/>
            <charset val="134"/>
          </rPr>
          <t>LJG:
内部因素。</t>
        </r>
      </text>
    </comment>
    <comment ref="B5" authorId="0">
      <text>
        <r>
          <rPr>
            <sz val="9"/>
            <rFont val="宋体"/>
            <charset val="134"/>
          </rPr>
          <t>LJG:
包括1、市场分析（总体销售成长分析、各产品销售增长分析、各产品大类市场分析、区域市场分析、消费群体分析、销售者购买动因分析、市场成功因素分析和广告宣传投入分析）；2、渠道分析（做的不够好的、经常断缺货的和亟待提升的激励措施）；3、产品分析（销售分布分析、型号分析、利润分布分析、产品周期分析）；4、技术创新分析（产品创新和技术创新）。</t>
        </r>
      </text>
    </comment>
    <comment ref="B7" authorId="0">
      <text>
        <r>
          <rPr>
            <sz val="9"/>
            <rFont val="宋体"/>
            <charset val="134"/>
          </rPr>
          <t>LJG:
包括两条共同的主线：企业成本控制能力和灵活经营管理机制。</t>
        </r>
      </text>
    </comment>
    <comment ref="B8" authorId="0">
      <text>
        <r>
          <rPr>
            <sz val="9"/>
            <rFont val="宋体"/>
            <charset val="134"/>
          </rPr>
          <t>LJG:
企业与员工同呼吸共命运。</t>
        </r>
      </text>
    </comment>
    <comment ref="B9" authorId="0">
      <text>
        <r>
          <rPr>
            <sz val="9"/>
            <rFont val="宋体"/>
            <charset val="134"/>
          </rPr>
          <t>LJG:
1、现金流量分析：现金流量是第一关键分析内容。2、资产状况分析：侧重于资产的分布与资产的价值。3、获利能力分析：销售利润率和净资产报酬率。4、成长性分析：销售增长率、新产品的销售比重和新客户的销售比重。5、风险分析：流动比率和资产负债率。6、会计系统分析：财务会计和管理会计。</t>
        </r>
      </text>
    </comment>
    <comment ref="A11" authorId="0">
      <text>
        <r>
          <rPr>
            <sz val="9"/>
            <rFont val="宋体"/>
            <charset val="134"/>
          </rPr>
          <t>LJG:
内部因素。</t>
        </r>
      </text>
    </comment>
    <comment ref="A17" authorId="0">
      <text>
        <r>
          <rPr>
            <sz val="9"/>
            <rFont val="宋体"/>
            <charset val="134"/>
          </rPr>
          <t>LJG:
外部因素。</t>
        </r>
      </text>
    </comment>
    <comment ref="B17" authorId="0">
      <text>
        <r>
          <rPr>
            <sz val="9"/>
            <rFont val="宋体"/>
            <charset val="134"/>
          </rPr>
          <t>LJG:
侧重于中央与地方政府的关系、海峡两岸关系和中国在国际上的地位。</t>
        </r>
      </text>
    </comment>
    <comment ref="B18" authorId="0">
      <text>
        <r>
          <rPr>
            <sz val="9"/>
            <rFont val="宋体"/>
            <charset val="134"/>
          </rPr>
          <t>LJG:
GDP、货比供应量、银行利率、人均收入与储蓄、外汇政策。
危机不一定只是“危”，也有很多“机”，要学会化解“危”而找到“机”。</t>
        </r>
      </text>
    </comment>
    <comment ref="B19" authorId="0">
      <text>
        <r>
          <rPr>
            <sz val="9"/>
            <rFont val="宋体"/>
            <charset val="134"/>
          </rPr>
          <t>LJG:
经济法（税法）、劳动法、标准法（准入门槛）。</t>
        </r>
      </text>
    </comment>
    <comment ref="B20" authorId="0">
      <text>
        <r>
          <rPr>
            <sz val="9"/>
            <rFont val="宋体"/>
            <charset val="134"/>
          </rPr>
          <t>LJG:
文化与消费观念。</t>
        </r>
      </text>
    </comment>
    <comment ref="B21" authorId="0">
      <text>
        <r>
          <rPr>
            <sz val="9"/>
            <rFont val="宋体"/>
            <charset val="134"/>
          </rPr>
          <t>LJG:
科学技术及创新能力，在合适的时间做合适的事情，才是上策。</t>
        </r>
      </text>
    </comment>
    <comment ref="B22" authorId="0">
      <text>
        <r>
          <rPr>
            <sz val="9"/>
            <rFont val="宋体"/>
            <charset val="134"/>
          </rPr>
          <t>LJG:
关注已有的竞争者和潜在的竞争者，关注替代品。</t>
        </r>
      </text>
    </comment>
    <comment ref="A24" authorId="0">
      <text>
        <r>
          <rPr>
            <sz val="9"/>
            <rFont val="宋体"/>
            <charset val="134"/>
          </rPr>
          <t>LJG:
外部因素。</t>
        </r>
      </text>
    </comment>
    <comment ref="C31" authorId="0">
      <text>
        <r>
          <rPr>
            <sz val="9"/>
            <rFont val="宋体"/>
            <charset val="134"/>
          </rPr>
          <t>LJG:
优势权重+劣势权重=1
机遇权重+威胁权重=1
关键因素总权重=2</t>
        </r>
      </text>
    </comment>
  </commentList>
</comments>
</file>

<file path=xl/comments34.xml><?xml version="1.0" encoding="utf-8"?>
<comments xmlns="http://schemas.openxmlformats.org/spreadsheetml/2006/main">
  <authors>
    <author>LJG</author>
  </authors>
  <commentList>
    <comment ref="A1" authorId="0">
      <text>
        <r>
          <rPr>
            <sz val="9"/>
            <rFont val="宋体"/>
            <charset val="134"/>
          </rPr>
          <t>LJG:
主要为企业信用评价提供晴雨表参考，还可用于企业与同行业横向绩效评价均值对比，找出差距，提出改善性建议。</t>
        </r>
      </text>
    </comment>
    <comment ref="A3" authorId="0">
      <text>
        <r>
          <rPr>
            <sz val="9"/>
            <rFont val="宋体"/>
            <charset val="134"/>
          </rPr>
          <t>LJG:
中央企业综合业绩评价指标体系包括两项：财务业绩(70%)和管理业绩(30%)。
具体包括8个基本指标(蓝色)、14个修正指标(红色)和8个评议指标三项目，三个项目设计权数均为100。
70%财务业绩财务指标及权数包括：盈利能力状况34、资产质量状况22、债务风险状况22、经营增长状况22。
30%管理业绩评议指标包括：战略管理18、发展创新15、经营决策16、风险控制13、基础管理14、人力资源8、行业影响8、社会贡献8。</t>
        </r>
      </text>
    </comment>
    <comment ref="D3" authorId="0">
      <text>
        <r>
          <rPr>
            <sz val="9"/>
            <rFont val="宋体"/>
            <charset val="134"/>
          </rPr>
          <t>LJG:
应考虑外部环境影响对其行业绩效均值进行及时修订，以增加可比性。
平均值可根据企业实际规模来考虑大中小型规模因素调整影响，以更具可比性。
标杆值为行业优秀值，可作为企业标杆管理的目标来进行绩效，相关标杆细则值请查阅相关资料进行调整。</t>
        </r>
      </text>
    </comment>
    <comment ref="E3" authorId="0">
      <text>
        <r>
          <rPr>
            <sz val="9"/>
            <rFont val="宋体"/>
            <charset val="134"/>
          </rPr>
          <t>LJG:
通常以行业平均值代替标准值，并适当进行理论修正。
关系比率为实际值与标准值的比率，具体为4种情况：1、当为理想情况时，关系比率=1+(实际值-标准值)/标准值；2、当不理想情况时，关系比率=[标准值-(实际值-标准值)]/标准值。</t>
        </r>
      </text>
    </comment>
    <comment ref="F3" authorId="0">
      <text>
        <r>
          <rPr>
            <sz val="9"/>
            <rFont val="宋体"/>
            <charset val="134"/>
          </rPr>
          <t>LJG:
理论上的权数分配数，原则上不得擅自修改，但若企业主业或性质具有其特殊性，则可针对性修改其相应权数。</t>
        </r>
      </text>
    </comment>
    <comment ref="G3" authorId="0">
      <text>
        <r>
          <rPr>
            <sz val="9"/>
            <rFont val="宋体"/>
            <charset val="134"/>
          </rPr>
          <t>LJG:
当某一单项指标分数为负、为0、畸高或明显不合理时，须进行相关调整修正，修正为合理得分。</t>
        </r>
      </text>
    </comment>
    <comment ref="H3" authorId="0">
      <text>
        <r>
          <rPr>
            <sz val="9"/>
            <rFont val="宋体"/>
            <charset val="134"/>
          </rPr>
          <t>LJG:
得分上限为正常评分的1.5倍，下限为正常评分的0.5倍。否则须进行调整修正。
财务得分权重为70%。</t>
        </r>
      </text>
    </comment>
    <comment ref="I3" authorId="0">
      <text>
        <r>
          <rPr>
            <sz val="9"/>
            <rFont val="宋体"/>
            <charset val="134"/>
          </rPr>
          <t>LJG:
根据评议指标所考核的内容，由不少于5名的评议人员依据评价参考标准判定指标达到的等级，然后计算评议指标得分。
评议指标总分=Σ单项指标分数
单项指标分数=Σ（单项指标权数×每位评议人员选定的等级参数）/评议人员总数
如果被评价企业会计信息发生严重失真、丢失或因客观原因无法提供真实、合法会计数据资料等异常情况，以及受国家政策、市场环境等因素的重大影响，利用企业提供的会计数据已无法形成客观、公正的评价结论时，经相关的评价组织机构批准，可单独运用评议指标进行定性评价，得出评价结论。</t>
        </r>
      </text>
    </comment>
    <comment ref="K3" authorId="0">
      <text>
        <r>
          <rPr>
            <sz val="9"/>
            <rFont val="宋体"/>
            <charset val="134"/>
          </rPr>
          <t>LJG:
得分上限为正常评分的1.5倍，下限为正常评分的0.5倍。否则须进行调整修正。
管理得分权重为30%。
若由于客观因素造成管理得分取数不正确或不可取，也可对其忽略而直接以财务得分粗略评价，但须修改综合得分公式。</t>
        </r>
      </text>
    </comment>
    <comment ref="A5" authorId="0">
      <text>
        <r>
          <rPr>
            <sz val="9"/>
            <rFont val="宋体"/>
            <charset val="134"/>
          </rPr>
          <t>LJG:
权数34，具体分解为基本指标和修正指标两项，各项权数相加均为34。</t>
        </r>
      </text>
    </comment>
    <comment ref="B6" authorId="0">
      <text>
        <r>
          <rPr>
            <sz val="9"/>
            <rFont val="宋体"/>
            <charset val="134"/>
          </rPr>
          <t>LJG:
平均净资产=（年初归属于母公司所有者权益合计+年末归属于母公司所有者权益合计）/2</t>
        </r>
      </text>
    </comment>
    <comment ref="D6" authorId="0">
      <text>
        <r>
          <rPr>
            <sz val="9"/>
            <rFont val="宋体"/>
            <charset val="134"/>
          </rPr>
          <t>LJG:
规模浮动比例：大型：标杆上浮16%  平均上浮34%  中型：标杆上浮3%  平均下浮6%  小型：标杆下浮21%  平均下浮21%</t>
        </r>
      </text>
    </comment>
    <comment ref="H6" authorId="0">
      <text>
        <r>
          <rPr>
            <sz val="9"/>
            <rFont val="宋体"/>
            <charset val="134"/>
          </rPr>
          <t>LJG:
对于净资产收益率当分母为0或小于0时，该指标修正为得0分。</t>
        </r>
      </text>
    </comment>
    <comment ref="B7" authorId="0">
      <text>
        <r>
          <rPr>
            <sz val="9"/>
            <rFont val="宋体"/>
            <charset val="134"/>
          </rPr>
          <t>LJG:
平均资产总额=（年初资产总额+年末资产总额）/2</t>
        </r>
      </text>
    </comment>
    <comment ref="C7" authorId="0">
      <text>
        <r>
          <rPr>
            <sz val="9"/>
            <rFont val="宋体"/>
            <charset val="134"/>
          </rPr>
          <t>LJG:
默认利息支出与财务费用等效。</t>
        </r>
      </text>
    </comment>
    <comment ref="D7" authorId="0">
      <text>
        <r>
          <rPr>
            <sz val="9"/>
            <rFont val="宋体"/>
            <charset val="134"/>
          </rPr>
          <t>LJG:
规模浮动比例：大型：标杆上浮25%  平均上浮30%  中型：标杆下浮8%  平均下浮30%  小型：标杆下浮30%  平均下浮43%</t>
        </r>
      </text>
    </comment>
    <comment ref="B8" authorId="0">
      <text>
        <r>
          <rPr>
            <sz val="9"/>
            <rFont val="宋体"/>
            <charset val="134"/>
          </rPr>
          <t>LJG:
主营业务利润=主营业务收入-主营业务成本-主营业务税金及附加</t>
        </r>
      </text>
    </comment>
    <comment ref="D8" authorId="0">
      <text>
        <r>
          <rPr>
            <sz val="9"/>
            <rFont val="宋体"/>
            <charset val="134"/>
          </rPr>
          <t>LJG:
规模浮动比例：大型：标杆上浮22%  平均上浮44%  中型：标杆上浮9%  平均上浮3%  小型：标杆下浮11%  平均下浮20%</t>
        </r>
      </text>
    </comment>
    <comment ref="B9" authorId="0">
      <text>
        <r>
          <rPr>
            <sz val="9"/>
            <rFont val="宋体"/>
            <charset val="134"/>
          </rPr>
          <t>LJG:
在所得税税率25%下扣除突发损益影响）标准75%—135%，制造业接近125%—135%上限，服务业接近75%—85%的下限。</t>
        </r>
      </text>
    </comment>
    <comment ref="D9" authorId="0">
      <text>
        <r>
          <rPr>
            <sz val="9"/>
            <rFont val="宋体"/>
            <charset val="134"/>
          </rPr>
          <t>LJG:
规模浮动比例：大型：标杆上浮6%  平均上浮25%  中型：标杆上浮13%  平均上浮0  小型：标杆下浮1%  平均下浮75%</t>
        </r>
      </text>
    </comment>
    <comment ref="H9" authorId="0">
      <text>
        <r>
          <rPr>
            <sz val="9"/>
            <rFont val="宋体"/>
            <charset val="134"/>
          </rPr>
          <t>LJG:
当盈余现金保障倍数的分母为0或负数时，如果分子为正，该指标修正为得4分；如果分子也为负，该指标修正为得0分。</t>
        </r>
      </text>
    </comment>
    <comment ref="B10" authorId="0">
      <text>
        <r>
          <rPr>
            <sz val="9"/>
            <rFont val="宋体"/>
            <charset val="134"/>
          </rPr>
          <t>LJG:
成本费用总额=主营业务成本+主营业务税金及附加+销售费用+管理费用+财务费用</t>
        </r>
      </text>
    </comment>
    <comment ref="D10" authorId="0">
      <text>
        <r>
          <rPr>
            <sz val="9"/>
            <rFont val="宋体"/>
            <charset val="134"/>
          </rPr>
          <t>LJG:
规模浮动比例：大型：标杆上浮22%  平均上浮67%  中型：标杆上浮15%  平均上浮8%  小型：标杆下浮20%  平均下浮42%</t>
        </r>
      </text>
    </comment>
    <comment ref="B11" authorId="0">
      <text>
        <r>
          <rPr>
            <sz val="9"/>
            <rFont val="宋体"/>
            <charset val="134"/>
          </rPr>
          <t>LJG:
平均资本=[(年初实收资本+年初资本公积)+(年末实收资本+年末资本公积)]/2</t>
        </r>
      </text>
    </comment>
    <comment ref="D11" authorId="0">
      <text>
        <r>
          <rPr>
            <sz val="9"/>
            <rFont val="宋体"/>
            <charset val="134"/>
          </rPr>
          <t>LJG:
规模浮动比例：大型：标杆上浮32%  平均上浮33%  中型：标杆上浮13%  平均下浮11%  小型：标杆下浮18%  平均下浮24%</t>
        </r>
      </text>
    </comment>
    <comment ref="A12" authorId="0">
      <text>
        <r>
          <rPr>
            <sz val="9"/>
            <rFont val="宋体"/>
            <charset val="134"/>
          </rPr>
          <t>LJG:
权数22，具体分解为基本指标和修正指标两项，各项权数相加均为22。</t>
        </r>
      </text>
    </comment>
    <comment ref="B13" authorId="0">
      <text>
        <r>
          <rPr>
            <sz val="9"/>
            <rFont val="宋体"/>
            <charset val="134"/>
          </rPr>
          <t>LJG:
平均资产总额=（年初资产总额+年末资产总额）/2</t>
        </r>
      </text>
    </comment>
    <comment ref="D13" authorId="0">
      <text>
        <r>
          <rPr>
            <sz val="9"/>
            <rFont val="宋体"/>
            <charset val="134"/>
          </rPr>
          <t>LJG:
规模浮动比例：大型：标杆下浮6%  平均下浮0  中型：标杆上浮0  平均上浮40%  小型：标杆上浮13%  平均上浮0</t>
        </r>
      </text>
    </comment>
    <comment ref="B14" authorId="0">
      <text>
        <r>
          <rPr>
            <sz val="9"/>
            <rFont val="宋体"/>
            <charset val="134"/>
          </rPr>
          <t>LJG:
应收账款平均余额=[(年初应收账款净额+年初应收账款坏账准备)+(年末应收账款净额+年末应收账款坏账准备)]/2</t>
        </r>
      </text>
    </comment>
    <comment ref="C14" authorId="0">
      <text>
        <r>
          <rPr>
            <sz val="9"/>
            <rFont val="宋体"/>
            <charset val="134"/>
          </rPr>
          <t>LJG:
未考虑应收账款坏账准备金额。</t>
        </r>
      </text>
    </comment>
    <comment ref="D14" authorId="0">
      <text>
        <r>
          <rPr>
            <sz val="9"/>
            <rFont val="宋体"/>
            <charset val="134"/>
          </rPr>
          <t>LJG:
规模浮动比例：大型：标杆上浮16%  平均上浮22%  中型：标杆上浮16%  平均下浮16%  小型：标杆下浮6%  平均下浮22%</t>
        </r>
      </text>
    </comment>
    <comment ref="B15" authorId="0">
      <text>
        <r>
          <rPr>
            <sz val="9"/>
            <rFont val="宋体"/>
            <charset val="134"/>
          </rPr>
          <t>LJG:
年末不良资产总额=资产减值准备余额+应提未提和应摊未摊的潜亏挂账+未处理资产损失</t>
        </r>
      </text>
    </comment>
    <comment ref="C15" authorId="0">
      <text>
        <r>
          <rPr>
            <sz val="9"/>
            <rFont val="宋体"/>
            <charset val="134"/>
          </rPr>
          <t>LJG:
未考虑未记账的账外因素。</t>
        </r>
      </text>
    </comment>
    <comment ref="D15" authorId="0">
      <text>
        <r>
          <rPr>
            <sz val="9"/>
            <rFont val="宋体"/>
            <charset val="134"/>
          </rPr>
          <t>LJG:
规模浮动比例：大型：标杆下浮67%  平均下浮50%  中型：标杆下浮0  平均下浮15%  小型：标杆上浮67%  平均上浮9%</t>
        </r>
      </text>
    </comment>
    <comment ref="B16" authorId="0">
      <text>
        <r>
          <rPr>
            <sz val="9"/>
            <rFont val="宋体"/>
            <charset val="134"/>
          </rPr>
          <t>LJG:
平均流动资产总额=（年初流动资产总额+年末流动资产总额）/2</t>
        </r>
      </text>
    </comment>
    <comment ref="D16" authorId="0">
      <text>
        <r>
          <rPr>
            <sz val="9"/>
            <rFont val="宋体"/>
            <charset val="134"/>
          </rPr>
          <t>LJG:
规模浮动比例：大型：标杆下浮3%  平均下浮0  中型：标杆上浮23%  平均上浮0  小型：标杆上浮10%  平均上浮7%</t>
        </r>
      </text>
    </comment>
    <comment ref="B17" authorId="0">
      <text>
        <r>
          <rPr>
            <sz val="9"/>
            <rFont val="宋体"/>
            <charset val="134"/>
          </rPr>
          <t>LJG:
平均资产总额=（年初资产总额+年末资产总额）/2</t>
        </r>
      </text>
    </comment>
    <comment ref="D17" authorId="0">
      <text>
        <r>
          <rPr>
            <sz val="9"/>
            <rFont val="宋体"/>
            <charset val="134"/>
          </rPr>
          <t>LJG:
规模浮动比例：大型：标杆上浮3%  平均上浮59%  中型：标杆下浮7%  平均上浮10%  小型：标杆下浮15%  平均下浮90%</t>
        </r>
      </text>
    </comment>
    <comment ref="A18" authorId="0">
      <text>
        <r>
          <rPr>
            <sz val="9"/>
            <rFont val="宋体"/>
            <charset val="134"/>
          </rPr>
          <t>LJG:
权数22，具体分解为基本指标和修正指标两项，各项权数相加均为22。</t>
        </r>
      </text>
    </comment>
    <comment ref="K18" authorId="0">
      <text>
        <r>
          <rPr>
            <sz val="9"/>
            <rFont val="宋体"/>
            <charset val="134"/>
          </rPr>
          <t>LJG:
财务绩效权重占70%，管理绩效权重占30%。若忽略管理得分影响，只考核财务得分，则本公式修改为：=H32</t>
        </r>
      </text>
    </comment>
    <comment ref="D19" authorId="0">
      <text>
        <r>
          <rPr>
            <sz val="9"/>
            <rFont val="宋体"/>
            <charset val="134"/>
          </rPr>
          <t>LJG:
规模浮动比例：大型：标杆下浮7%  平均下浮10%  中型：标杆上浮1%  平均下浮3%  小型：标杆上浮8%  平均上浮5%</t>
        </r>
      </text>
    </comment>
    <comment ref="J19" authorId="0">
      <text>
        <r>
          <rPr>
            <sz val="9"/>
            <rFont val="宋体"/>
            <charset val="134"/>
          </rPr>
          <t>LJG:
得出评价结论为那种类型的那个级别。</t>
        </r>
      </text>
    </comment>
    <comment ref="C20" authorId="0">
      <text>
        <r>
          <rPr>
            <sz val="9"/>
            <rFont val="宋体"/>
            <charset val="134"/>
          </rPr>
          <t>LJG:
默认利息支出与财务费用等效。</t>
        </r>
      </text>
    </comment>
    <comment ref="D20" authorId="0">
      <text>
        <r>
          <rPr>
            <sz val="9"/>
            <rFont val="宋体"/>
            <charset val="134"/>
          </rPr>
          <t>LJG:
规模浮动比例：大型：标杆上浮15%  平均上浮6%  中型：标杆下浮20%  平均下浮34%  小型：标杆下浮34%  平均下浮47%</t>
        </r>
      </text>
    </comment>
    <comment ref="H20" authorId="0">
      <text>
        <r>
          <rPr>
            <sz val="9"/>
            <rFont val="宋体"/>
            <charset val="134"/>
          </rPr>
          <t>LJG:
对于已获利息倍数指标，当分母为0时，则处理如下：1、如果利润总额大于0，该指标修正为得10分；2、如果利润总额小于或等于0，该指标修正为得0分。</t>
        </r>
      </text>
    </comment>
    <comment ref="B21" authorId="0">
      <text>
        <r>
          <rPr>
            <sz val="9"/>
            <rFont val="宋体"/>
            <charset val="134"/>
          </rPr>
          <t>LJG:
速动资产=流动资产-存货</t>
        </r>
      </text>
    </comment>
    <comment ref="D21" authorId="0">
      <text>
        <r>
          <rPr>
            <sz val="9"/>
            <rFont val="宋体"/>
            <charset val="134"/>
          </rPr>
          <t>LJG:
规模浮动比例：大型：标杆上浮8%  平均上浮3%  中型：标杆下浮6%  平均下浮1%  小型：标杆上浮15%  平均上浮16%</t>
        </r>
      </text>
    </comment>
    <comment ref="D22" authorId="0">
      <text>
        <r>
          <rPr>
            <sz val="9"/>
            <rFont val="宋体"/>
            <charset val="134"/>
          </rPr>
          <t>LJG:
规模浮动比例：大型：标杆上浮19%  平均上浮47%  中型：标杆上浮5%  平均下浮21%  小型：标杆下浮23%  平均下浮56%</t>
        </r>
      </text>
    </comment>
    <comment ref="D23" authorId="0">
      <text>
        <r>
          <rPr>
            <sz val="9"/>
            <rFont val="宋体"/>
            <charset val="134"/>
          </rPr>
          <t>LJG:
规模浮动比例：大型：标杆下浮6%  平均下浮9%  中型：标杆上浮3%  平均下浮1%  小型：标杆上浮20%  平均上浮5%</t>
        </r>
      </text>
    </comment>
    <comment ref="B24" authorId="0">
      <text>
        <r>
          <rPr>
            <sz val="9"/>
            <rFont val="宋体"/>
            <charset val="134"/>
          </rPr>
          <t>LJG:
或有负债余额=已贴现承兑汇票+担保余额+贴现与担保外的被诉事项金额+其他或有负债</t>
        </r>
      </text>
    </comment>
    <comment ref="C24" authorId="0">
      <text>
        <r>
          <rPr>
            <sz val="9"/>
            <rFont val="宋体"/>
            <charset val="134"/>
          </rPr>
          <t>LJG:
不考虑表外等因素，视同或有负债等效预计负债余额。</t>
        </r>
      </text>
    </comment>
    <comment ref="D24" authorId="0">
      <text>
        <r>
          <rPr>
            <sz val="9"/>
            <rFont val="宋体"/>
            <charset val="134"/>
          </rPr>
          <t>LJG:
规模浮动比例：大型：标杆下浮20%  平均上浮10%  中型：标杆上浮40%  平均下浮2%  小型：标杆上浮60%  平均上浮15%</t>
        </r>
      </text>
    </comment>
    <comment ref="A25" authorId="0">
      <text>
        <r>
          <rPr>
            <sz val="9"/>
            <rFont val="宋体"/>
            <charset val="134"/>
          </rPr>
          <t>LJG:
权数22，具体分解为基本指标和修正指标两项，各项权数相加均为22。</t>
        </r>
      </text>
    </comment>
    <comment ref="D26" authorId="0">
      <text>
        <r>
          <rPr>
            <sz val="9"/>
            <rFont val="宋体"/>
            <charset val="134"/>
          </rPr>
          <t>LJG:
规模浮动比例：大型：标杆上浮28%  平均上浮31%  中型：标杆上浮21%  平均上浮23%  小型：标杆下浮10%  平均下浮57%</t>
        </r>
      </text>
    </comment>
    <comment ref="C27" authorId="0">
      <text>
        <r>
          <rPr>
            <sz val="9"/>
            <rFont val="宋体"/>
            <charset val="134"/>
          </rPr>
          <t>LJG:
不考虑客观因素，可修正。</t>
        </r>
      </text>
    </comment>
    <comment ref="D27" authorId="0">
      <text>
        <r>
          <rPr>
            <sz val="9"/>
            <rFont val="宋体"/>
            <charset val="134"/>
          </rPr>
          <t>LJG:
规模浮动比例：大型：标杆上浮2%  平均上浮1%  中型：标杆下浮1%  平均下浮1%  小型：标杆下浮4%  平均下浮2%</t>
        </r>
      </text>
    </comment>
    <comment ref="H27" authorId="0">
      <text>
        <r>
          <rPr>
            <sz val="9"/>
            <rFont val="宋体"/>
            <charset val="134"/>
          </rPr>
          <t>LJG:
如果资本保值增值率的分子、分母出现负数或分母为0时，则按如下确定分数：1、如果分母为负，分子为正，该指标修正为得10分。2、如果分母及分子都为负，但分子的绝对值小于分母的绝对值，该指标修正为得10分；反之，分子的绝对值大于分母的绝对值，该指标修正为得0分。3、如果分母为正，分子为负，该指标修正为得0分。4、当分母为0时，如果分子为正，该指标修正为得分10分；如果分子为负，该指标修正为得0分。</t>
        </r>
      </text>
    </comment>
    <comment ref="D28" authorId="0">
      <text>
        <r>
          <rPr>
            <sz val="9"/>
            <rFont val="宋体"/>
            <charset val="134"/>
          </rPr>
          <t>LJG:
规模浮动比例：大型：标杆下浮4%  平均下浮7%  中型：标杆上浮9%  平均上浮4%  小型：标杆下浮10%  平均下浮50%</t>
        </r>
      </text>
    </comment>
    <comment ref="D29" authorId="0">
      <text>
        <r>
          <rPr>
            <sz val="9"/>
            <rFont val="宋体"/>
            <charset val="134"/>
          </rPr>
          <t>LJG:
规模浮动比例：大型：标杆下浮3%  平均下浮10%  中型：标杆上浮10%  平均上浮3%  小型：标杆上浮5%  平均下浮48%</t>
        </r>
      </text>
    </comment>
    <comment ref="C30" authorId="0">
      <text>
        <r>
          <rPr>
            <sz val="9"/>
            <rFont val="宋体"/>
            <charset val="134"/>
          </rPr>
          <t>LJG:
根据明细账分析计算填列。</t>
        </r>
      </text>
    </comment>
    <comment ref="D30" authorId="0">
      <text>
        <r>
          <rPr>
            <sz val="9"/>
            <rFont val="宋体"/>
            <charset val="134"/>
          </rPr>
          <t>LJG:
规模浮动比例：大型：标杆上浮11%  平均上浮30%  中型：标杆下浮17%  平均下浮0  小型：标杆下浮33%  平均下浮30%</t>
        </r>
      </text>
    </comment>
    <comment ref="G30" authorId="0">
      <text>
        <r>
          <rPr>
            <sz val="9"/>
            <rFont val="宋体"/>
            <charset val="134"/>
          </rPr>
          <t>LJG:
输入手动调整数。</t>
        </r>
      </text>
    </comment>
  </commentList>
</comments>
</file>

<file path=xl/comments4.xml><?xml version="1.0" encoding="utf-8"?>
<comments xmlns="http://schemas.openxmlformats.org/spreadsheetml/2006/main">
  <authors>
    <author>LJG</author>
  </authors>
  <commentList>
    <comment ref="B4" authorId="0">
      <text>
        <r>
          <rPr>
            <sz val="9"/>
            <rFont val="宋体"/>
            <charset val="134"/>
          </rPr>
          <t>LJG:
可修改为：本月金额</t>
        </r>
      </text>
    </comment>
    <comment ref="C4" authorId="0">
      <text>
        <r>
          <rPr>
            <sz val="9"/>
            <rFont val="宋体"/>
            <charset val="134"/>
          </rPr>
          <t>LJG:
可修改为：上年同期或上月金额进行对比</t>
        </r>
      </text>
    </comment>
    <comment ref="D5" authorId="0">
      <text>
        <r>
          <rPr>
            <sz val="9"/>
            <rFont val="宋体"/>
            <charset val="134"/>
          </rPr>
          <t>LJG:
本年收入为总权重。</t>
        </r>
      </text>
    </comment>
    <comment ref="E5" authorId="0">
      <text>
        <r>
          <rPr>
            <sz val="9"/>
            <rFont val="宋体"/>
            <charset val="134"/>
          </rPr>
          <t>LJG:
上年收入为总权重。</t>
        </r>
      </text>
    </comment>
    <comment ref="F5" authorId="0">
      <text>
        <r>
          <rPr>
            <sz val="9"/>
            <rFont val="宋体"/>
            <charset val="134"/>
          </rPr>
          <t>LJG:
此变动为本年比上年增长比率。</t>
        </r>
      </text>
    </comment>
    <comment ref="A20" authorId="0">
      <text>
        <r>
          <rPr>
            <sz val="9"/>
            <rFont val="宋体"/>
            <charset val="134"/>
          </rPr>
          <t>LJG:
所得税费用包括应交所得税和递延所得税，根据实际计算分析填列。</t>
        </r>
      </text>
    </comment>
  </commentList>
</comments>
</file>

<file path=xl/comments5.xml><?xml version="1.0" encoding="utf-8"?>
<comments xmlns="http://schemas.openxmlformats.org/spreadsheetml/2006/main">
  <authors>
    <author>LJG</author>
    <author>Think</author>
  </authors>
  <commentList>
    <comment ref="A1" authorId="0">
      <text>
        <r>
          <rPr>
            <sz val="9"/>
            <rFont val="宋体"/>
            <charset val="134"/>
          </rPr>
          <t xml:space="preserve">LJG:
如何阅读资产负债表：
A、浏览一下资产负债表的主要内容，由此，对企业的资产、负债及股东权益的总额及其内部各项目的构成和增减变化有一个初步的认识。
B、对资产负债表的一些重要项目，尤其是期初与期末数据变化很大，或出现大额红字的项目进行进一步分析，如流动资产、流动负债、固定资产、有代价或有息的负债（如短期银行借款、长期银行借款、应付票据等）、应收帐款、货币资金以及股东权益中的具体项目等。
C、对一些基本财务指标进行计算，计算财务指标的数据来源主要有以下几个方面：直接从资产负债表中取得，如净资产比率；直接从利润及利润分配表中取得，如销售利润率；同时来源于资产负债表利润及利润分配表，如应收帐款周转率；部分来源于企业的帐簿记录，如利息支付能力。
D、项目的阅读、看财务实力、看财务结构、看偿债能力、看营运能力。
关注重点：
现金不足：企业最严重的财务危机。企业的流动现金不能太紧。 
应收账款过多：钱在客户那里
存货过多：钱压在商品里
固定资产过多：钱压在设备、厂房里
计提的各种准备过低：资产虚估，风险准备不足
短期借款用于长期用途： “短贷长投”，短期偿债风险高企。
应付账款账期的不正常延长：资金链可能断裂
长期借款用于短期用途：企业要承担高额的利息负担
担保负债和未决诉讼：企业杀手
举债过度：资本金不足，长期偿债风险高企。
</t>
        </r>
      </text>
    </comment>
    <comment ref="A5" authorId="0">
      <text>
        <r>
          <rPr>
            <sz val="9"/>
            <rFont val="宋体"/>
            <charset val="134"/>
          </rPr>
          <t>LJG:
资金占用财务状况分布。通常工业企业流动资产小于非流动资产，而商业企业则可能相反。</t>
        </r>
      </text>
    </comment>
    <comment ref="B5" authorId="0">
      <text>
        <r>
          <rPr>
            <sz val="9"/>
            <rFont val="宋体"/>
            <charset val="134"/>
          </rPr>
          <t>LJG:
可修改为：期末余额</t>
        </r>
      </text>
    </comment>
    <comment ref="C5" authorId="0">
      <text>
        <r>
          <rPr>
            <sz val="9"/>
            <rFont val="宋体"/>
            <charset val="134"/>
          </rPr>
          <t>LJG:
可修改为：期初余额（定基比较）或上期余额（环比比较）。但要注意口径的一致性。</t>
        </r>
      </text>
    </comment>
    <comment ref="D5" authorId="0">
      <text>
        <r>
          <rPr>
            <sz val="9"/>
            <rFont val="宋体"/>
            <charset val="134"/>
          </rPr>
          <t>LJG:
资金来源财务状况分布。</t>
        </r>
      </text>
    </comment>
    <comment ref="E5" authorId="0">
      <text>
        <r>
          <rPr>
            <sz val="9"/>
            <rFont val="宋体"/>
            <charset val="134"/>
          </rPr>
          <t>LJG:
可修改为：期末余额</t>
        </r>
      </text>
    </comment>
    <comment ref="F5" authorId="0">
      <text>
        <r>
          <rPr>
            <sz val="9"/>
            <rFont val="宋体"/>
            <charset val="134"/>
          </rPr>
          <t>LJG:
可修改为：期初余额（定基比较）或上期余额（环比比较）。但要注意口径的一致性。</t>
        </r>
      </text>
    </comment>
    <comment ref="B17" authorId="1">
      <text>
        <r>
          <rPr>
            <sz val="9"/>
            <rFont val="宋体"/>
            <charset val="134"/>
          </rPr>
          <t>LJG:
资产负债表静态分析状态。</t>
        </r>
      </text>
    </comment>
    <comment ref="B18" authorId="1">
      <text>
        <r>
          <rPr>
            <sz val="9"/>
            <rFont val="宋体"/>
            <charset val="134"/>
          </rPr>
          <t>LJG:
资产负债表静态分析状态。</t>
        </r>
      </text>
    </comment>
    <comment ref="A20" authorId="0">
      <text>
        <r>
          <rPr>
            <sz val="9"/>
            <rFont val="宋体"/>
            <charset val="134"/>
          </rPr>
          <t>LJG:
经营改善大罗盘：运营资产=总资产-运营负债</t>
        </r>
      </text>
    </comment>
    <comment ref="A21" authorId="0">
      <text>
        <r>
          <rPr>
            <sz val="9"/>
            <rFont val="宋体"/>
            <charset val="134"/>
          </rPr>
          <t>LJG:
经营财务表现关键指标转速率。
分解指标：应收账款周转期、存货周转期、原材料在途期、生产周期、库存周期、销售周期。</t>
        </r>
      </text>
    </comment>
    <comment ref="A22" authorId="1">
      <text>
        <r>
          <rPr>
            <sz val="9"/>
            <rFont val="宋体"/>
            <charset val="134"/>
          </rPr>
          <t>LJG:
货币性资产，指持有的现金及将以固定或可确定金额的货币收取的资产，包括现金、应收账款和应收票据以及准备持有至到期的债券投资等。这里的现金包括库存现金、银行存款和其他货币资金。</t>
        </r>
      </text>
    </comment>
    <comment ref="A23" authorId="1">
      <text>
        <r>
          <rPr>
            <sz val="9"/>
            <rFont val="宋体"/>
            <charset val="134"/>
          </rPr>
          <t>LJG:
货币性负债是在物价变动的情况下，其货币金额固定不变，只是其实际购买力发生变动的负债项目。是将来必须支付固定金额货币的债务，也有货币性流动负债和货币性非流动负债两类。货币性流动负债包括应付账款、应付工资、应付所得税等；货币性长期负债包括长期借款、应付债券等。</t>
        </r>
      </text>
    </comment>
    <comment ref="A24" authorId="1">
      <text>
        <r>
          <rPr>
            <sz val="9"/>
            <rFont val="宋体"/>
            <charset val="134"/>
          </rPr>
          <t xml:space="preserve">LJG:
决定企业营运资金需求高低的主要因素：
    A、企业的行业特点。一般地，创造附加价值低的企业（如商业企业），需求低；创造附加
       价值高的企业（如设备制造企业）生产与付款周期长，存货需求大，因而资金需求多。
    B、企业的生产规模。
    C、市场的变化。在物价上涨时期，营运资金需求也会增加。
    D、企业资金管理水平。存货、应收账款、应付账款的管理直接影响资金需求。
</t>
        </r>
      </text>
    </comment>
    <comment ref="D24" authorId="1">
      <text>
        <r>
          <rPr>
            <sz val="9"/>
            <rFont val="宋体"/>
            <charset val="134"/>
          </rPr>
          <t>LJG:
企业经营协调性判断。</t>
        </r>
      </text>
    </comment>
    <comment ref="A25" authorId="1">
      <text>
        <r>
          <rPr>
            <sz val="9"/>
            <rFont val="宋体"/>
            <charset val="134"/>
          </rPr>
          <t xml:space="preserve">LJG:
企业的现金支付能力＝企业的营运资本－营运资金需求
                  ＝（货币资金＋交易性金融资产＋应收票据）
                    －（短期借款＋交易性金融负债-应付票据）
注：企业的现金支付能力反映企业可立即变现的资产满足归还短期负债资金需求的能力。
</t>
        </r>
      </text>
    </comment>
    <comment ref="D25" authorId="1">
      <text>
        <r>
          <rPr>
            <sz val="9"/>
            <rFont val="宋体"/>
            <charset val="134"/>
          </rPr>
          <t>LJG:
企业经营协调性判断。</t>
        </r>
      </text>
    </comment>
    <comment ref="A26" authorId="0">
      <text>
        <r>
          <rPr>
            <sz val="9"/>
            <rFont val="宋体"/>
            <charset val="134"/>
          </rPr>
          <t>LJG:
营运资本＝结构性负债－结构性资产＝流动资产－流动负债
     注：一般工业企业营运资本相当于1～3个月的营业额较合理安全。
    A、一般情况下，要求企业的营运资本为正，即结构性负债必须大于结构性资产，并且数额
       要能满足企业生产经营活动对资金的需求，否则，如果通过企业的流动负债来保证这部
       分资金需求，企业便经常面临着支付困难和不能按期偿还债务的风险。
    B、特殊情况下，如在某些先收货和销售、后支付货款的企业（如零售商业），营运资本为
       负也是正常的。
    C、通常情况下，我们用营运资本与企业总产值或者销售收入之比，作为衡量和判断营运资
       本是否达到合理数值的标准。一般认为，在工业企业，营运资本相当于1～3个月的营
       业额时（具体合理数值随行而定），才算比较合理安全。在正常情况下，低于这个标准
       就应当筹资，高于这个标准就应当立项投资。
营运资本的隐形成本存货成本、应收款成本，丧失的是机会成本。</t>
        </r>
      </text>
    </comment>
    <comment ref="A27" authorId="0">
      <text>
        <r>
          <rPr>
            <sz val="9"/>
            <rFont val="宋体"/>
            <charset val="134"/>
          </rPr>
          <t>LJG:
长期资金的来源-长期资金的使用=可用资本，可用资本的成长来自于盈余公积和未分配利润。
营运资本增长率与可用资本增长率对比：营运资本增长率长期远远大于可用资本增长率，所有的供产销市场风险会给公司带来厄运，特别注意存货的滞压和应收款的坏账；营运资本增长率长期远远小于可用资本增长率，自己会消化风险。自己的成长要大于市场所带来的风险，才能消化风险，这对指标至少每年要监控体检一次。</t>
        </r>
      </text>
    </comment>
    <comment ref="D27" authorId="1">
      <text>
        <r>
          <rPr>
            <sz val="9"/>
            <rFont val="宋体"/>
            <charset val="134"/>
          </rPr>
          <t>LJG:
长期资金来源=长期负债+所有者权益
长期资金占用=非流动资产</t>
        </r>
      </text>
    </comment>
    <comment ref="A28" authorId="0">
      <text>
        <r>
          <rPr>
            <sz val="9"/>
            <rFont val="宋体"/>
            <charset val="134"/>
          </rPr>
          <t>LJG:
营运资金率与销售增长率对比可验证当下销售的质量对公司财务的风险，代表短期风险，营运资金与可用资本之间的对比可表现长期经营风险。
营运资本增长率与可用资本增长率对比：营运资本增长率长期远远大于可用资本增长率，所有的供产销市场风险会给公司带来厄运，特别注意存货的滞压和应收款的坏账；营运资本增长率长期远远小于可用资本增长率，自己会消化风险。自己的成长要大于市场所带来的风险，才能消化风险，这对指标至少每年要监控体检一次。</t>
        </r>
      </text>
    </comment>
    <comment ref="A29" authorId="0">
      <text>
        <r>
          <rPr>
            <sz val="9"/>
            <rFont val="宋体"/>
            <charset val="134"/>
          </rPr>
          <t>LJG:
营运资金与可用资本之间的对比可表现长期经营风险。</t>
        </r>
      </text>
    </comment>
    <comment ref="D29" authorId="1">
      <text>
        <r>
          <rPr>
            <sz val="9"/>
            <rFont val="宋体"/>
            <charset val="134"/>
          </rPr>
          <t>LJG:
营运资本增长率跟可用资本增长率表达的是长期风险的化解能力。</t>
        </r>
      </text>
    </comment>
    <comment ref="A30" authorId="0">
      <text>
        <r>
          <rPr>
            <sz val="9"/>
            <rFont val="宋体"/>
            <charset val="134"/>
          </rPr>
          <t>LJG:
营运资金率与销售增长率对比可验证当下销售的质量对公司财务的风险，代表短期风险。</t>
        </r>
      </text>
    </comment>
    <comment ref="D30" authorId="1">
      <text>
        <r>
          <rPr>
            <sz val="9"/>
            <rFont val="宋体"/>
            <charset val="134"/>
          </rPr>
          <t>LJG:
营运资金增长率与销售增长率对比可验证当下销售的质量对公司财务的风险，代表短期风险。</t>
        </r>
      </text>
    </comment>
  </commentList>
</comments>
</file>

<file path=xl/comments6.xml><?xml version="1.0" encoding="utf-8"?>
<comments xmlns="http://schemas.openxmlformats.org/spreadsheetml/2006/main">
  <authors>
    <author>LJG</author>
  </authors>
  <commentList>
    <comment ref="A1" authorId="0">
      <text>
        <r>
          <rPr>
            <sz val="9"/>
            <rFont val="宋体"/>
            <charset val="134"/>
          </rPr>
          <t>LJG:
必须输入空白处相关数据，并根据实际情况修改相关比率，方可根据两大主表快编现金流量表。</t>
        </r>
      </text>
    </comment>
    <comment ref="C10" authorId="0">
      <text>
        <r>
          <rPr>
            <sz val="9"/>
            <rFont val="宋体"/>
            <charset val="134"/>
          </rPr>
          <t>LJG提醒:
不包括离退休人员和在建工程的职工薪金及福利费等</t>
        </r>
      </text>
    </comment>
    <comment ref="E17" authorId="0">
      <text>
        <r>
          <rPr>
            <sz val="9"/>
            <rFont val="宋体"/>
            <charset val="134"/>
          </rPr>
          <t xml:space="preserve">LJG提醒:
   本格设有营业收入校验公式请勿删除。
</t>
        </r>
      </text>
    </comment>
    <comment ref="E22" authorId="0">
      <text>
        <r>
          <rPr>
            <sz val="9"/>
            <rFont val="宋体"/>
            <charset val="134"/>
          </rPr>
          <t xml:space="preserve">LJG提醒:
   本格设有营业成本校验公式请勿删除。
</t>
        </r>
      </text>
    </comment>
    <comment ref="E27" authorId="0">
      <text>
        <r>
          <rPr>
            <sz val="9"/>
            <rFont val="宋体"/>
            <charset val="134"/>
          </rPr>
          <t>LJG提醒:
   本格设有存货增加额校验公式请勿删除。</t>
        </r>
      </text>
    </comment>
    <comment ref="D31" authorId="0">
      <text>
        <r>
          <rPr>
            <sz val="9"/>
            <rFont val="宋体"/>
            <charset val="134"/>
          </rPr>
          <t>LJG提醒:
所得税税率须根据企业实际税率修改。</t>
        </r>
      </text>
    </comment>
    <comment ref="D47" authorId="0">
      <text>
        <r>
          <rPr>
            <sz val="9"/>
            <rFont val="宋体"/>
            <charset val="134"/>
          </rPr>
          <t xml:space="preserve">LJG提醒:
  灰色阴影部分须根据企业实际计提比例修改，如是按账龄计提坏账准备，则按实际计提数直接填在坏账准备金额栏。
</t>
        </r>
      </text>
    </comment>
  </commentList>
</comments>
</file>

<file path=xl/comments7.xml><?xml version="1.0" encoding="utf-8"?>
<comments xmlns="http://schemas.openxmlformats.org/spreadsheetml/2006/main">
  <authors>
    <author>LJG</author>
    <author>Think</author>
  </authors>
  <commentList>
    <comment ref="A1" authorId="0">
      <text>
        <r>
          <rPr>
            <sz val="9"/>
            <rFont val="宋体"/>
            <charset val="134"/>
          </rPr>
          <t>LJG:
战略决定了你的方向，模式决定了你的优劣，金融决定了你的速度，管理决定了你的效率。
现金流管理12345：1个中心（现金为王）、2个部分（内部和外部）、3维为度（经营、投资、筹资）、4种变量（流向、流量、流速、流程）、5类指标（偿债性、灵活性、盈利性、增长性、结构性）。</t>
        </r>
      </text>
    </comment>
    <comment ref="A4" authorId="0">
      <text>
        <r>
          <rPr>
            <sz val="9"/>
            <rFont val="宋体"/>
            <charset val="134"/>
          </rPr>
          <t>LJG:
经营活动是指企业投资活动和筹资活动以外的所有交易和事项。各类企业由于行业特点不同，对经营活动的认定存在一定差异。对于自然灾害损失和保险赔款，如果能够确指属于流动资产损失，应当列入经营活动产生的现金流量。
对于企业日常活动之外特殊的、不经常发生的特殊项目，如自然灾害损失、保险赔款、捐赠等，应当归并到相关类别中，并单独反映。如果不能确指，则可以列入经营活动产生的现金流量。捐赠收入和支出，可以列入经营活动。如果特殊项目的现金流量金额不大，则可以列入现金流量类别下的“其他”项目，不单列项目。</t>
        </r>
      </text>
    </comment>
    <comment ref="A5" authorId="0">
      <text>
        <r>
          <rPr>
            <sz val="9"/>
            <rFont val="宋体"/>
            <charset val="134"/>
          </rPr>
          <t xml:space="preserve">LJG:
=主营业务收入+其他业务收入 +应交税费（应交增值税-销项税额） +（应收帐款期初数-应收帐款期末数） +（应收票据期初数应收票据期末数） +（预收帐款期末数-预收帐款期初数） -当期计提的坏帐准备 -支付的应收票据贴现利息 -库存商品改变用途应支付的销项额 ±特殊调整事项 特殊调整事项的处理（不含三个帐户内部转帐业务），如果借：应收帐款、应收票据、预收帐款等，贷方不是“收入及销项税额”则加上，如果：贷应收帐款、应收票据、预收帐款等，借方不是“现金类”科目，则减去。
※①与收回坏帐无关 ②客户用商品抵债的进项税不在此反映。
</t>
        </r>
      </text>
    </comment>
    <comment ref="B5" authorId="0">
      <text>
        <r>
          <rPr>
            <sz val="9"/>
            <rFont val="宋体"/>
            <charset val="134"/>
          </rPr>
          <t>LJG:
销售商品、提供劳务收到的现金：本项目反映企业销售商品、提供劳务实际收到的现金，包括销售收入和应向购买者收取的增值税销项税额，具体包括：本期销售商品、提供劳务收到的现金，以及前期销售商品、提供劳务本期收到的现金和本期预收的款项，减去本期销售本期退回的商品和前期销售本期退回的商品支付的现金。企业销售材料和代购代销业务收到的现金，也在本项目反映。本项目可以根据“库存现金”、“银行存款”、“应收票据”、“应收账款”、“预收账款”、“主营业务收入”、“其他业务收入”科目的记录分析填列。</t>
        </r>
      </text>
    </comment>
    <comment ref="A6" authorId="0">
      <text>
        <r>
          <rPr>
            <sz val="9"/>
            <rFont val="宋体"/>
            <charset val="134"/>
          </rPr>
          <t xml:space="preserve">LJG:
=返还的（增值税+消费费+营业税+关税+所得税+城建税+教育费附加等）
</t>
        </r>
      </text>
    </comment>
    <comment ref="B6" authorId="0">
      <text>
        <r>
          <rPr>
            <sz val="9"/>
            <rFont val="宋体"/>
            <charset val="134"/>
          </rPr>
          <t>LJG:
收到的税费返还：本项目反映企业收到返还的各种税费，如收到的增值税、营业税、所得税、消费税、关税和教育费附加返还款等。</t>
        </r>
      </text>
    </comment>
    <comment ref="A7" authorId="0">
      <text>
        <r>
          <rPr>
            <sz val="9"/>
            <rFont val="宋体"/>
            <charset val="134"/>
          </rPr>
          <t>LJG:
=收到除上述经营活动以外的其他经营活动有关的现金</t>
        </r>
      </text>
    </comment>
    <comment ref="B7" authorId="0">
      <text>
        <r>
          <rPr>
            <sz val="9"/>
            <rFont val="宋体"/>
            <charset val="134"/>
          </rPr>
          <t>LJG:
收到的其他与经营活动有关的现金：本项目反映企业除上述各项日外，收到的其他与经营活动有关的现金，如罚款收入、经营租赁固定资产收到的现金、投资性房地产收到的租金收入、流动资产损失中由个人赔偿的现金收人、除税费返还外的其他政府补助收入等。其他与经营活动有关的现金，如果价值较大的，应单列项目反映。本项目可以根据“库存现金”、“银行存款”、“管理费用”、“营业费用”等科目的记录分析填列。</t>
        </r>
      </text>
    </comment>
    <comment ref="A9" authorId="0">
      <text>
        <r>
          <rPr>
            <sz val="9"/>
            <rFont val="宋体"/>
            <charset val="134"/>
          </rPr>
          <t>LJG:
=[主营业务成本（或其他支出支出） &lt;即：存货本期贷方发生额-库存商品改变途减少数&gt; +存货期末价值-存货期初价值）] +应交税金（应交增值税-进项税额） +（应付帐款期初数-应付帐款期末数） +（应付票据期初数-应付票据期末数） +（预付帐款期末数-预付帐款期初数） +库存商品改变用途价值（如工程领用） +库存商品盘亏损失 -当期列入生产成本、制造费用的工资及福利费 -当期列入生产成本、制造费用的折旧费和摊销的大修理费 -库存商品增加额中包含的分配进入的制造费用、生产工人工资 ±特殊调整事项  特殊调整事项的处理，如果借：应付帐款、应付票据、预付帐款等（存贷类），贷方不是“现金类”科目，则减去，如果贷：应付帐款数、应付票据、预付帐款等，借方不是“销售成本或进项税”科目，则加上。</t>
        </r>
      </text>
    </comment>
    <comment ref="B9" authorId="0">
      <text>
        <r>
          <rPr>
            <sz val="9"/>
            <rFont val="宋体"/>
            <charset val="134"/>
          </rPr>
          <t>LJG:
购买商品、接受劳务支付的现金：本项目反映企业购买材料、商品、接受劳务实际支付的现金，包括支付的货款以及与货款一并支付的增值税进项税额，具体包括：本期购买商品、接受劳务支付的现金，以及本期支付前期购买商品、接受劳务的未付款项和本期预付款项，减去本期发生的购货退回收到的现金。为购置存货而发生的借款利息资本化部分，应在“分配股利、利润或偿付利息支付的现金”项目中反映。本项目可以根据“库存现金”、“银行存款”、“应付票据”、“应付账款”、“预付账款”、“主营业务成本”、“其他业务支出”等科日的记录分析填列。</t>
        </r>
      </text>
    </comment>
    <comment ref="A10" authorId="0">
      <text>
        <r>
          <rPr>
            <sz val="9"/>
            <rFont val="宋体"/>
            <charset val="134"/>
          </rPr>
          <t xml:space="preserve">LJG:
=生产成本、制造费用、管理费用的工资，福利费 +（应付工资期初数-期末数）+（应付福利费期初数-期末数） 附：当存在“在建工程”人员的工资、福利费时，注意期初、期末及计提数中是否包含“在建工程”的情况，按下式计算考虑计算关系。 本期支付给职工及为职工支付的工资 =（期初总额-包含的在建工程期初数） +（计提总额-包含的在建工程计提数） -（期末总额-包含的在建工程期末数） 当本期列入生产成本的工资及福利，期初无在建工程的工资及福利时，公式为： 生产成本、制造费用、管理费用的工资、福利费 +（应付工资、应福利费期初数-期末数） -（应付工资及福利费在建工程期初数-应付工资及福利费中在建工程期末数）
</t>
        </r>
      </text>
    </comment>
    <comment ref="B10" authorId="0">
      <text>
        <r>
          <rPr>
            <sz val="9"/>
            <rFont val="宋体"/>
            <charset val="134"/>
          </rPr>
          <t>LJG:
支付给职工以及为职工支付的现金：本项目反映企业实际支付给职工的现金以及为职工支付的现金，包括企业为获得职工提供的服务，本期实际给予各种形式的报酬以及其他相关支出，如支付给职工的工资、奖金、各种津贴和补贴等，以及为职工支付的其他费用，不包括支付给在建工程人员的工资。支付的在建工程人员的工资，在”购建固定资产、无形资产和其他长期资产所支付的现金”项目中反映。企业为职工支付的医疗、养老、失业、工伤、生育等社会保险基金、补充养老保险、住房公积金，企业为职工交纳的商业保险金，因解除与职工劳动关系给予的补偿，现金结算的股份支付，以及企业支付给职工或为职工支付的其他福利费用等，应根据职工的工作性质和服务对象，分别在”购建固定资产、无形资产和其他长期资产所支付的现金”和”支付给职工以及为职工支付的现金”项目中反映。本项目可以根据“库存现金”、“银行存款”、“应付职工薪酬”等科目的记录分析填列。</t>
        </r>
      </text>
    </comment>
    <comment ref="A11" authorId="0">
      <text>
        <r>
          <rPr>
            <sz val="9"/>
            <rFont val="宋体"/>
            <charset val="134"/>
          </rPr>
          <t>LJG:
支付的各项税费（不包括耕地占用税及退回的增值税所得税） =所得税+营业税金及附加 +应交税费（增值税-已交税金） +消费费+营业税 +关税+土地增值税+房产税+车船使用税+印花税 +教育费附加+矿产资源补偿费等</t>
        </r>
      </text>
    </comment>
    <comment ref="B11" authorId="0">
      <text>
        <r>
          <rPr>
            <sz val="9"/>
            <rFont val="宋体"/>
            <charset val="134"/>
          </rPr>
          <t>LJG:
支付的各项税费：项目反映企业按规定支付的各项税费，包括本期发生并支付的税费，以及本期支付以前各期发生的税费和预交的税金，如支付的营业税、增值税、消费税、所得税教育费附加、印花税、房产税、土地增值税、车船使用税等。不包括本期退回的增值税、所得税。本期退回的增值税、所得税等，在“收到的税费返还”项目中反映。本项目可以根据“应交税费”、“库存现金”、“银行存款”等科目分析填列。</t>
        </r>
      </text>
    </comment>
    <comment ref="A12" authorId="0">
      <text>
        <r>
          <rPr>
            <sz val="9"/>
            <rFont val="宋体"/>
            <charset val="134"/>
          </rPr>
          <t xml:space="preserve">LJG:
=剔除各项因素后的费用+罚款支出+差旅费+招待费+保险费+离退休人员的各项费用等
根据"管理费用"、"销售费用"、"营业外支出"等账户的记录分析填列。因为其中一些数据是不能直接从报表数字得到，所以需要分析近似8折填列。
</t>
        </r>
      </text>
    </comment>
    <comment ref="B12" authorId="0">
      <text>
        <r>
          <rPr>
            <sz val="9"/>
            <rFont val="宋体"/>
            <charset val="134"/>
          </rPr>
          <t>LJG:
支付的其他与经营活动有关的现金：本项目反映企业除上述各项目外，支付的其他与经营活动有关的现金，如罚款支出、支付的差旅费、业务招待费、保险费、经营租赁支付的现金等。其他与经营活动有关的现金，如果金额较大的，应单列项目反映。本项目可以根据有关科目的记录分析填列。</t>
        </r>
      </text>
    </comment>
    <comment ref="A15" authorId="0">
      <text>
        <r>
          <rPr>
            <sz val="9"/>
            <rFont val="宋体"/>
            <charset val="134"/>
          </rPr>
          <t>LJG:
投资活动是指企业长期资产的购建和不包括在现金等价物范围内的投资及其处置活动。长期资产是指固定资产、无形资产、在建工程、其他资产等持有期限在一年或一个营业周期以上的资产。将“包括在现金等价物范围内的投资”排除在外，是因为已经将包括在现金等价物范围内的投资视同现金。不同企业由于行业特点不同，对投资活动的认定也存在差异。
固定资产损失，应当列入投资活动产生的现金流量。</t>
        </r>
      </text>
    </comment>
    <comment ref="A16" authorId="0">
      <text>
        <r>
          <rPr>
            <sz val="9"/>
            <rFont val="宋体"/>
            <charset val="134"/>
          </rPr>
          <t xml:space="preserve">LJG:
=短期投资收回的本金及收益 +长期股权投资收回的本金及收益+长期债券投资收到的本金 关键字：出售，转让或到期收回
</t>
        </r>
      </text>
    </comment>
    <comment ref="B16" authorId="0">
      <text>
        <r>
          <rPr>
            <sz val="9"/>
            <rFont val="宋体"/>
            <charset val="134"/>
          </rPr>
          <t>LJG:
收回投资所收到的现金：本项目反映企业出售、转让或到期收回除现金等价物以外的交易性金融资产、持有至到期投资、可供出售金融资产、长期股权投资而收到的现金。不包括债权性投资收回的利息、收回的非现金资产，以及处置子公司及其他营业单位收到的现金净额。债权性投资收回的本金，在本项目反映，债权性投资收回的利息，不在本项目中反映，而在“取得投资收益所收到的现金”项目中反映。处置子公司及其他营业单位收到的现金净额单设项目反映。本项目可以根据“交易性金融资产”、“持有至到期投资”、“可供出售金融资产”、“长期股权投资”、“现金”、“银行存款”等科目的记录分析填列。</t>
        </r>
      </text>
    </comment>
    <comment ref="A17" authorId="0">
      <text>
        <r>
          <rPr>
            <sz val="9"/>
            <rFont val="宋体"/>
            <charset val="134"/>
          </rPr>
          <t>LJG:
=长期股权投资及长期债券投资收到的现金股利及利息</t>
        </r>
      </text>
    </comment>
    <comment ref="B17" authorId="0">
      <text>
        <r>
          <rPr>
            <sz val="9"/>
            <rFont val="宋体"/>
            <charset val="134"/>
          </rPr>
          <t>LJG:
取得投资收益收到的现金：本项目反映企业因股权性投资而分得的现金股利，，因债权性投资而取得的现金利息收入。股票股利由于不产生现金流量，不在本项目中反映。包括在现金等价物范围内的债券性投资，其利息收入在本项目中反映。本项目可以根据“应收股利”、“应收利息”、“投资收益”、“库存现金”、“银行存款”等科目的记录分析填列。</t>
        </r>
      </text>
    </comment>
    <comment ref="A18" authorId="0">
      <text>
        <r>
          <rPr>
            <sz val="9"/>
            <rFont val="宋体"/>
            <charset val="134"/>
          </rPr>
          <t>LJG:
=收到的现金-相关费用的净额 （包括灾害造成固定资产及长期资产损失收到的保险赔偿） （如为负数，在支付的其他与投资活动有关的现金项目反映）</t>
        </r>
      </text>
    </comment>
    <comment ref="B18" authorId="0">
      <text>
        <r>
          <rPr>
            <sz val="9"/>
            <rFont val="宋体"/>
            <charset val="134"/>
          </rPr>
          <t>LJG:
处置固定资产、无形资产和其他长期资产收回的现金净额：本项目反映企业出售固定资产、无形资产和其他长期资产（如投资性房地产）所取得的现金，减去为处置这些资产而支付的有关费用后的净额。处置固定资产、无形资产和其他长期资产所收到的现金，与处置活动支付的现金，两者在时间上比较接近，以净额反映更能准确反映处置活动对现金流量的影响。由于自然灾害等原因所造成的固定资产等长期资产报废、毁损而收到的保险赔偿收入，在本项目中反映。如处置固定资产、无形资产和其他长期资产所收回的现金净额为负数，则应作为投资活动产生的现金流量，在“支付的其他与投资活动有关的现金”项目中反映。本项目可以根据“固定资产清理”、“现金”、“银行存款”等科目的记录分析填列。</t>
        </r>
      </text>
    </comment>
    <comment ref="B19" authorId="0">
      <text>
        <r>
          <rPr>
            <sz val="9"/>
            <rFont val="宋体"/>
            <charset val="134"/>
          </rPr>
          <t>LJG:
处置子公司及其他营业单位收到的现金净额：本项目反映企业处置子公司及其他营业单位所取得的现金减去子公司或其他营业单位持有的现金和现金等价物以及相关处置费用后的净额。本项目可以根据有关科目的记录分析填列。企业处置子公司及其他营业单位是整体交易，子公司和其他营业单位可能持有现金和现金等价物。这样，整体处置子公司或其他营业单位的现金流量，就应以处置价款中收到现金的部分，减去子公司或其他营业单位持有的现金和现金等价物以及相关处置费用后的净额反映。处置子公司及其他营业单位收到的现金净额如为负数，则将该金额填列至“支付其他与投资活动有关的现金”项目中。</t>
        </r>
      </text>
    </comment>
    <comment ref="A20" authorId="0">
      <text>
        <r>
          <rPr>
            <sz val="9"/>
            <rFont val="宋体"/>
            <charset val="134"/>
          </rPr>
          <t>LJG:
=收到购买股票和债券时支付的已宣告但尚未领取的股利和已到付息期但尚未领取的债券利息及上述投资活动项目以外的其他与投资活动有关的现金流入</t>
        </r>
      </text>
    </comment>
    <comment ref="B20" authorId="0">
      <text>
        <r>
          <rPr>
            <sz val="9"/>
            <rFont val="宋体"/>
            <charset val="134"/>
          </rPr>
          <t>LJG:
收到的其他与投资活动有关的现金：本项目反映企业除上述各项目外，收到的其他与投资活动有关的现金。其他与投资活动有关的现金，如果价值较大的，应单列项目反映。本项目可以根据有关科目的记录分析填列。</t>
        </r>
      </text>
    </comment>
    <comment ref="A22" authorId="0">
      <text>
        <r>
          <rPr>
            <sz val="9"/>
            <rFont val="宋体"/>
            <charset val="134"/>
          </rPr>
          <t>LJG:
=按实际办理该项事项支付的现金 （不包括固定资产借款利息资本化及融资租赁租赁费，其在筹资活动中反映）  企业以分期付款方式购建的固定资产，其首次付款支付的现金作为投资活动的现金流出，以后各期支付的现金作为筹资活动的现金流出。如期末数小于期初数，则在处置固定资产、无形资产和其他长期资产所收回的现金净额项目中核算。</t>
        </r>
      </text>
    </comment>
    <comment ref="B22" authorId="0">
      <text>
        <r>
          <rPr>
            <sz val="9"/>
            <rFont val="宋体"/>
            <charset val="134"/>
          </rPr>
          <t>LJG:
购建固定资产、无形资产和其他长期资产支付的现金：本项目反映企业购买、建造固定资产，取得无形资产和其他长期资产(如投资性房地产)支付的现金，包括购买机器设备所支付的现金、建造工程支付的现金、支付在建工程人员的工资等现金支出，不包括为购建固定资产、无形资产和其他长期资产而发生的借款利息资本化部分，以及融资租入固定资产所支付的租赁费。为购建固定资产、无形资产和其他长期资产而发生的借款利息资本化部分，在“分配股利、利润或偿付利息支付的现金”项目中反映；融资租入固定资产所支付的租赁费，在“支付的其他与筹资活动有关的现金”项目中反映，不在本项目中反映。本项目可以根据“固定资产”、“在建工程”、“工程物资”、“无形资产” 、“现金”、“银行存款”等科目的记录分析填列。</t>
        </r>
      </text>
    </comment>
    <comment ref="A23" authorId="0">
      <text>
        <r>
          <rPr>
            <sz val="9"/>
            <rFont val="宋体"/>
            <charset val="134"/>
          </rPr>
          <t>LJG:
=本期（短期股票投资+短期债券投资+长期股权投资+长期债券投资）及手续费、佣金</t>
        </r>
      </text>
    </comment>
    <comment ref="B23" authorId="0">
      <text>
        <r>
          <rPr>
            <sz val="9"/>
            <rFont val="宋体"/>
            <charset val="134"/>
          </rPr>
          <t>LJG:
投资支付的现金：本项目反映企业进行权益性投资和债权性投资所支付的现金，包括企业取得的除现金等价物以外的交易性金融资产、持有至到期投资、可供出售金融资产而支付的现金，以及支付的佣金、手续费等交易费用。企业购买股票和债券时，实际支付的价款中包含的已宣告但尚未领取的现金股利或已到付息期但尚未领取的债券利息，应在“支付的其他与投资活动有关的现金”项目中反映；收回购买股票和债券时支付的已宣告但尚未领取的现金股利或已到付息期但尚未领取的债券利息，应在“收到的其他与投资活动有关的现金”项目中反映。本项目可以根据“交易性金融资产”、“持有至到期投资”、“可供出售金融资产”、“投资性房地产”、“长期股权投资”、“库存现金”、“银行存款”等科目的记录分析填列。</t>
        </r>
      </text>
    </comment>
    <comment ref="B24" authorId="0">
      <text>
        <r>
          <rPr>
            <sz val="9"/>
            <rFont val="宋体"/>
            <charset val="134"/>
          </rPr>
          <t>LJG:
取得子公司及其他营业单位支付的现金净额：本项目反映企业取得子公司及其他营业单位购买出价中以现金支付的部分，减去子公司或其他营业单位持有的现金和现金等价物后的净额。本项目可以根据有关科目的记录分析填列。</t>
        </r>
      </text>
    </comment>
    <comment ref="A25" authorId="0">
      <text>
        <r>
          <rPr>
            <sz val="9"/>
            <rFont val="宋体"/>
            <charset val="134"/>
          </rPr>
          <t xml:space="preserve">LJG:
=购买时已宣告而尚未领取的现金股利 +购买时已到付息期但尚未领取的债券利息及其他与投资活动有关的现金流出
</t>
        </r>
      </text>
    </comment>
    <comment ref="B25" authorId="0">
      <text>
        <r>
          <rPr>
            <sz val="9"/>
            <rFont val="宋体"/>
            <charset val="134"/>
          </rPr>
          <t>LJG:
支付的其他与投资活动有关的现金：本项目反映企业除上述各项目外，支付的其他与投资活动有关的现金。其他与投资活动有关的现金，如果价值较大的，应单列项目反映。本项目可以根据有关科目的记录分析填列。</t>
        </r>
      </text>
    </comment>
    <comment ref="A28" authorId="0">
      <text>
        <r>
          <rPr>
            <sz val="9"/>
            <rFont val="宋体"/>
            <charset val="134"/>
          </rPr>
          <t>LJG:
筹资活动是指导致企业资本及债务规模和构成发生变化的活动。这里所说的资本，既包括实收资本(股本)，也包括资本溢价(股本溢价)；这里所说的债务，指对外举债，包括向银行借款、发行债券以及偿还债务等。通常情况下，应付账款、应付票据等属于经营活动，不属于筹资活动。</t>
        </r>
      </text>
    </comment>
    <comment ref="A29" authorId="0">
      <text>
        <r>
          <rPr>
            <sz val="9"/>
            <rFont val="宋体"/>
            <charset val="134"/>
          </rPr>
          <t>LJG:
=发行股票债券收到的现金 -支付的佣金等发行费用 不能减去支付的审计、咨询费用，其在“支付的其他与筹资活动有关的现金”中反映。</t>
        </r>
      </text>
    </comment>
    <comment ref="B29" authorId="0">
      <text>
        <r>
          <rPr>
            <sz val="9"/>
            <rFont val="宋体"/>
            <charset val="134"/>
          </rPr>
          <t>LJG:
吸收投资收到的现金：本项目反映企业以发行股票、债券等方式筹集资金实际收到的款项净额(发行收入减去支付的佣金等发行费用后的净额)。以发行股票等方式筹集资金而由企业直接支付的审计、咨询等费用等，在“支付的其他与筹资活动有关的现金”项目中反映；项目可以根据“实收资本(或股本)”、“资本公积”、“现金”、“银行存款”等科目的记录分析填列。</t>
        </r>
      </text>
    </comment>
    <comment ref="A30" authorId="0">
      <text>
        <r>
          <rPr>
            <sz val="9"/>
            <rFont val="宋体"/>
            <charset val="134"/>
          </rPr>
          <t>LJG:
=企业举借各种短期借款、长期借款而收到的现金</t>
        </r>
      </text>
    </comment>
    <comment ref="B30" authorId="0">
      <text>
        <r>
          <rPr>
            <sz val="9"/>
            <rFont val="宋体"/>
            <charset val="134"/>
          </rPr>
          <t>LJG:
借款收到的现金：本项目反映企业举借各种短期、长期借款而收到的现金，以及发行债券实际收到的款项净额（发行收入减去直接支付的佣金等发行费用后的净额）。本项目可以根据“短期借款”、“长期借款”、“交易性金融负债”、“应付债券”、“现金”、“银行存款”等科目的记录分析填列。</t>
        </r>
      </text>
    </comment>
    <comment ref="A31" authorId="0">
      <text>
        <r>
          <rPr>
            <sz val="9"/>
            <rFont val="宋体"/>
            <charset val="134"/>
          </rPr>
          <t>LJG:
=除上述各项筹资活动以外的其他与筹资活动相关的现 （如现金捐赠）</t>
        </r>
      </text>
    </comment>
    <comment ref="B31" authorId="0">
      <text>
        <r>
          <rPr>
            <sz val="9"/>
            <rFont val="宋体"/>
            <charset val="134"/>
          </rPr>
          <t>LJG:
收到的其他与筹资活动有关的现金：本项目反映企业除上述各项目外，收到的其他与筹资活动有关的现金。其他与筹资活动有关的现金，如果价值较大的，应单列项目反映。本项目可根据有关科。</t>
        </r>
      </text>
    </comment>
    <comment ref="B33" authorId="0">
      <text>
        <r>
          <rPr>
            <sz val="9"/>
            <rFont val="宋体"/>
            <charset val="134"/>
          </rPr>
          <t>LJG:
偿还债务所支付的现金：本项目反映企业以现金偿还债务的本金，包括：归还金融企业的借款本金、偿付企业到期的债券本金等。企业偿还的借款利息、债券利息，在“分配股利、利润或偿付利息所支付的现金”项目中反映。本项目可以根据“短期借款”、“长期借款”、“交易性金融负债”、“应付债券”、“库存现金”、“银行存款”等科目的记录分析填列。</t>
        </r>
      </text>
    </comment>
    <comment ref="B34" authorId="0">
      <text>
        <r>
          <rPr>
            <sz val="9"/>
            <rFont val="宋体"/>
            <charset val="134"/>
          </rPr>
          <t>LJG:
分配股利、利润或偿付利息支付的现金：本项目反映企业实际支付的现金股利、支付给其他投资单位的利润或用现金支付的借款利息、债券利息。不同用途的借款，其利息的开支渠道不一样，如在建工程、财务费用等，均在本项目中反映。本项目可以根据“应付股利”、“应付利息”、“利润分配”、“财务费用”、”在建工程”、“制造费用”、“研发支出”、“现金”、“银行存款”等科目的记录分析填列。</t>
        </r>
      </text>
    </comment>
    <comment ref="B35" authorId="0">
      <text>
        <r>
          <rPr>
            <sz val="9"/>
            <rFont val="宋体"/>
            <charset val="134"/>
          </rPr>
          <t>LJG:
支付的其他与筹资活动有关的现金：本项目反映企业除上述各项目外，支付的其他与筹资活动有关的现金，如以发行股票、债券等方式筹集资金而由企业直接支付的审计、咨询等费用，融资租赁各期支付的现金、以分期付款方式构建固定资产、无形资产等各期支付的现金。其他与筹资活动有关的现金，如果价值较大的，应单列项目反映。本项目可以根据有关科目的记录分析填列。</t>
        </r>
      </text>
    </comment>
    <comment ref="D37" authorId="0">
      <text>
        <r>
          <rPr>
            <sz val="9"/>
            <rFont val="宋体"/>
            <charset val="134"/>
          </rPr>
          <t xml:space="preserve">LJG:
拯救资金链危机的五大措施。措施一退出激进预算。客观地进行环境影响因素分析和企业战略分析，确保现金流向与环境变化相协调，重新制定稳健的财务预算，是危机中的首要任务；措施二改善成本。尽管几乎所有的企业都在进行削减成本的工作，但专家认为，聪明的公司会将成本的细分做到精细化，将成本的预算作为企业资源配置管理，理清成本的投入产出关系，削减那些未来不会或者只是很少带来产出的一些成本；措施三检修供应链。供应链的管理在萧条时期变得异常重要；措施四广开资金源。对于资金饥渴的企业而言，单一依靠银行贷款并不是明智的选择，在宏观经济进入下行周期中，银行最常扮演落井下石的角色，因此企业在注意资本金和借贷之间的比例、长期负债和短期负债之间的比例，避免短资长用的同时，尽量广开财路，使资金来源多元化，相比银行贷款，寻求上市筹资也因股市紧缩而变得更加困难，不过风险投资信托计划、股权融资或者私募基金投资也是企业可以考虑的途径；措施五合理瘦身与逆势扩张。对于一个高负债低现金的企业而言，重新审视过去的投资行为，出售相关资产或者关闭生产线可以快速缓解现金的饥渴，在决定出售什么资产、出售多少之前，必须进行谨慎的价值贡献分析，抛弃长期对企业价值贡献为负值的资产，才能使优质资产得到保全从而带来新生的机会。
</t>
        </r>
      </text>
    </comment>
    <comment ref="B38" authorId="0">
      <text>
        <r>
          <rPr>
            <sz val="9"/>
            <rFont val="宋体"/>
            <charset val="134"/>
          </rPr>
          <t>LJG:
汇率变动对现金的影响，指企业外币现金流量及境外子公司的现金流量折算成记账本币时，所采用的是现金流量发生日的汇率或即期汇率的近似汇率，而现金流量表”现金及现金等价物净增加额”项目中外币现金净增加额是按资产负债表日的即期汇率折算。这两者的差额即为汇率变动对现金的影响。</t>
        </r>
      </text>
    </comment>
    <comment ref="A39" authorId="0">
      <text>
        <r>
          <rPr>
            <sz val="9"/>
            <rFont val="宋体"/>
            <charset val="134"/>
          </rPr>
          <t>LJG:
现金指企业的库存现金以及可以随时用于支付的存款。
现金等价物指企业持有的期限短（一般指从购买日起，3个月内到期，例如可在证券市场上流通的3个月内到期的短期债券投资等）、流动性强、易于转换为已知金额现金、价值变动风险小的投资。</t>
        </r>
      </text>
    </comment>
    <comment ref="A42" authorId="1">
      <text>
        <r>
          <rPr>
            <sz val="9"/>
            <rFont val="宋体"/>
            <charset val="134"/>
          </rPr>
          <t>LJG:
因公式计算会有四舍五入尾差问题，可进行手工修改公式如修改为两者相减小于1等，则主附表相符。</t>
        </r>
      </text>
    </comment>
    <comment ref="A49" authorId="0">
      <text>
        <r>
          <rPr>
            <sz val="9"/>
            <rFont val="宋体"/>
            <charset val="134"/>
          </rPr>
          <t>LJG:
这里所指的资产减值准备包括：坏账准备、存货跌价准备、投资性房地产减值准备、长期股权投资减值准备、持有至到期投资减值准备、固定资产减值准备、在建工程减值准备、工程物资减值准备、生物性资产减值准备、无形资产减值准备、商誉减值准备等。企业计提和按规定各项资产减值准备，包括在利润表中，属于利润的减除项目，但没有发生现金流出。所以，在将净利润调节为经营活动现金流量时，需要加回。本项目可根据“资产减值损失”科目的记录分析填列。</t>
        </r>
      </text>
    </comment>
    <comment ref="A50" authorId="0">
      <text>
        <r>
          <rPr>
            <sz val="9"/>
            <rFont val="宋体"/>
            <charset val="134"/>
          </rPr>
          <t>LJG:
	企业计提的固定资产折旧，有的包括在管理费用中，有的包括在制造费用中。计入管理费用中的部分，作为期间费用在计算净利润时从中扣除，但没有发生现金流出，在将净利润调节为经营活动现金流量时，需要予以加回。计入制造费用中的已经变现的部分，在计算净利润时通过销售成本予以扣除，但没有发生现金流出；计入制造费用中的没有变现的部分，既不涉及现金收支，也不影响企业当期净利润。由于在调节存货时，已经从中扣除，在此处将净利润调节为经营活动现金流量时，需要予以加回。同理，企业计提的油气资产折耗、生产性生物资产折旧，也需要予以加回。本项目可根据“累计折旧”、“累计折耗”、“生产性生物资产折旧”科目的贷方发生额分析填列。</t>
        </r>
      </text>
    </comment>
    <comment ref="A51" authorId="0">
      <text>
        <r>
          <rPr>
            <sz val="9"/>
            <rFont val="宋体"/>
            <charset val="134"/>
          </rPr>
          <t>LJG:
企业对使用寿命有限的无形资产计提摊销时，计入管理费用或制造费用。长期待摊费摊销时，有的计入管理费用，有的计入销售费用，有的计入制造费用。计入管理费用等期间费用和计入制造费用中的巳变现的部分，在计算净利润时已从中扣除，但没有发生现金流出；计入制造费用中的没有变现的部分，在调节存货时已经从中扣除，但不涉及现金收支，所以，在此处将净利润调节为经营活动现金流量时，需要予以加回。这个项目可根据”累计摊销”、”长期待摊费用”科目的贷方发生额分析填列。</t>
        </r>
      </text>
    </comment>
    <comment ref="A53" authorId="0">
      <text>
        <r>
          <rPr>
            <sz val="9"/>
            <rFont val="宋体"/>
            <charset val="134"/>
          </rPr>
          <t>LJG:
企业处置固定资产、无形资产和其他长期资产发生的损益，属于投资活动产生的损益，不属于经营活动产生的损益，所以，在将净利润调节为经营活动现金流量时，需要予以剔除。如为损失，在将净利润调节为经营活动现金流量时，应当加回；如为收益，在将净利润调节为经营活动现金流量时，应当扣除。本项目可根据“营业外收入”、“营业外支出”等科目所属有关明细科目的记录分析填列，净收益以“－”号填列。</t>
        </r>
      </text>
    </comment>
    <comment ref="A54" authorId="0">
      <text>
        <r>
          <rPr>
            <sz val="9"/>
            <rFont val="宋体"/>
            <charset val="134"/>
          </rPr>
          <t>LJG:
企业发生的固定资产报废损益，属于投资活动产生的损益，不属于经营活动产生的损益，所以，在将净利润调节为经营活动现金流量时，需要予以剔除。如为净损失，在将净利润调节为经营活动现金流量时，应当加回；如为净收益，在将净利润调节为经营活动现金流量时，应当扣除。本项目可根据“营业外支出”、“营业外收入”等科目所属有关明细科目的记录分析填列。</t>
        </r>
      </text>
    </comment>
    <comment ref="A55" authorId="0">
      <text>
        <r>
          <rPr>
            <sz val="9"/>
            <rFont val="宋体"/>
            <charset val="134"/>
          </rPr>
          <t>LJG:
公允价值变动损失反映企业交易性金融资产、投资性房地产等公允价值变动形成的应计入当期损益的利得或损失。企业发生的公允价值变动损益，通常与企业的投资活动或筹资活动有关，而且并不影响企业当期的现金流量。为此，应当将其从净利润中剔除。本项目可以根据“公允价值变动损益”科目的发生额分析填列。如为持有损失，在将净利润调节为经营活动现金流量时，应当加回；如为持有利得，在将净利润调节为经营活动现金流量时，应当扣除。</t>
        </r>
      </text>
    </comment>
    <comment ref="A56" authorId="0">
      <text>
        <r>
          <rPr>
            <sz val="9"/>
            <rFont val="宋体"/>
            <charset val="134"/>
          </rPr>
          <t>LJG:
企业发生的财务费用中不属于经营活动的部分，应当在将净利润调节为经营活动现金流量时将其加回。本项目可根据“财务费用”科目的本期借方发生额分析填列；如为收益，以“－”号填列。</t>
        </r>
      </text>
    </comment>
    <comment ref="A57" authorId="0">
      <text>
        <r>
          <rPr>
            <sz val="9"/>
            <rFont val="宋体"/>
            <charset val="134"/>
          </rPr>
          <t>LJG:
企业发生的投资损益，属于投资活动产生的损益，不属于经营活动产生的损益，所以，在将净利润调节为经营活动现金流量时，需要予以剔除。如为净损失，在将净利润调节为经营活动现金流量时，应当加回：如为净收益，在将净利润调节为经营活动现金流量时，应当扣除。本项目可根据利润表中“投资收益”项目的数字填列；如为投资收益，以“－”号填列。</t>
        </r>
      </text>
    </comment>
    <comment ref="A58" authorId="0">
      <text>
        <r>
          <rPr>
            <sz val="9"/>
            <rFont val="宋体"/>
            <charset val="134"/>
          </rPr>
          <t>LJG:
递延所得税资产减少使计入所得税费用的金额大于当期应交的所得税金额，其差额没有发生现金流出，但在计算净利润时已经扣除，在将净利润调节为经营活动现金流量时，应当加回。递延所得税资产增加使计入所得税费用的金额小于当期应交的所得税金额，二者之间的差额并没有发生现金流入，但在计算净利润时已经包括在内，在将净利润调节为经营活动现金流量时，应当扣除。本项目可以根据资产负债表“递延所得税资产”项目期初、期末余额分析填列。</t>
        </r>
      </text>
    </comment>
    <comment ref="A59" authorId="0">
      <text>
        <r>
          <rPr>
            <sz val="9"/>
            <rFont val="宋体"/>
            <charset val="134"/>
          </rPr>
          <t>LJG:
递延所得税负债增加使计入所得税费用的金额大于当期应交的所得税金额，其差额没有发生现金流出，但在计算净利润时已经扣除，在将净利润调节为经营活动现金流量时，应当加回。如果递延所得税负债减少使计入当期所得税费用的金额小于当期应交的所得税金额，其差额并没有发生现金流入，但在计算净利润时已经包括在内，在将净利润调节为经营活动现金流量时，应当扣除。本项目可以根据资产负债表”递延所得税负债”项目期初、期末余额分析填列。</t>
        </r>
      </text>
    </comment>
    <comment ref="A60" authorId="0">
      <text>
        <r>
          <rPr>
            <sz val="9"/>
            <rFont val="宋体"/>
            <charset val="134"/>
          </rPr>
          <t>LJG:
期末存货比期初存货减少，说明本期生产经营过程耗用的存货有一部分是期初的存货，耗用这部分存货并没有发生现金流出，但在计算净利润时已经扣除，所以，在将净利润调节为经营活动现金流量时，应当加回。期末存货比期初存货增加，说明当期购入的存货除耗用外，还剩余了一部分，这部分存货也发生了现金流出，但在计算净利润时没有包括在内，所以，在将净利润调节为经营活动现金流量时，需要扣除。当然，存货的增减变化过程还涉及应付项目，这一因素在“经营性应付项目的增加(减：减少)”中考虑。本项目可根据资产负债表中“存货”项目的期初数、期末数之间的差额填列；期末数大于期初数的差额，以“一”号填列。如果存货的增减变化过程属于投资活动，如在建工程领用存货，应当将这一因素剔除。</t>
        </r>
      </text>
    </comment>
    <comment ref="A61" authorId="0">
      <text>
        <r>
          <rPr>
            <sz val="9"/>
            <rFont val="宋体"/>
            <charset val="134"/>
          </rPr>
          <t>LJG:
	经营性应收项目包括应收票据、应收账款、预付账款、长期应收款和其他应收款中，与经营活动有关的部分，以及应收的增值税销项税额等。经营性应收项目期末余额小于经营性应收项目期初余额，说明本期收回的现金大于利润表中所确认的销售收入，所以，在将净利润调节为经营活动现金流量时，需要加回。经营性应收项目期末余额大于经营性应收项目期初余额，说明本期销售收入中有一部分没有收回现金，但是，在计算净利润时这部分销售收入已包括在内，所以，在将净利润调节为经营活动现金流量时，需要扣除。本项目应当根据有关科目的期初、期末余额分析填列；如为增加，以“－”号填列。</t>
        </r>
      </text>
    </comment>
    <comment ref="A62" authorId="0">
      <text>
        <r>
          <rPr>
            <sz val="9"/>
            <rFont val="宋体"/>
            <charset val="134"/>
          </rPr>
          <t>LJG:
经营性应付项目包括应付票据、应付账款、预收账款、应付职工薪酬、应交税费、应付利息、长期应付款、其他应付款中与经营活动有关的部分，以及应付的增值税进项税额等。经营性应付项目期末余额大于经营性应付项目期初余额，说明本期购入的存货中有一部分没有支付现金，但是，在计算净利润时却通过销售成本包括在内，在将净利润调节为经营活动现金流量时，需要加回；经营性应付项目期末余额小于经营性应付项目期初余额，说明本期支付的现金大于利润表中所确认的销售成本，在将净利润调节为经营活动产生的现金流量时，需要扣除。本项目应当根据有关科目的期初、期末余额分析填列；如为减少，以“－”号填列。</t>
        </r>
      </text>
    </comment>
    <comment ref="A65" authorId="0">
      <text>
        <r>
          <rPr>
            <sz val="9"/>
            <rFont val="宋体"/>
            <charset val="134"/>
          </rPr>
          <t>LJG:
不涉及现金收支的重大投资和筹资活动，反映企业一定期间内影响资产或负债但不形成该期现金收支的所有投资和筹资活动的信息。这些投资和筹资活动虽然不涉当期现金收支，但对以后各期的现金流量有重大影响。例如，企业融资租入设备，将形成的负债计入”长期应付款”账户，当期并不支付设备款及租金，但以后各期必须为此支付现金，从而在一定期间内形成了一项固定的现金支出。</t>
        </r>
      </text>
    </comment>
  </commentList>
</comments>
</file>

<file path=xl/comments8.xml><?xml version="1.0" encoding="utf-8"?>
<comments xmlns="http://schemas.openxmlformats.org/spreadsheetml/2006/main">
  <authors>
    <author>LJG</author>
    <author>Think</author>
  </authors>
  <commentList>
    <comment ref="A1" authorId="0">
      <text>
        <r>
          <rPr>
            <sz val="9"/>
            <rFont val="宋体"/>
            <charset val="134"/>
          </rPr>
          <t>LJG:
财务指标四大陷阱：
A、部分分析指标相对滞后，影响分析结果；
B、财务指标的数据来源不够准确；
C、财务指标易被内部人控制；
D、原有的财务指标体系不能预先警示风险。
财务指标创新：公司要什么？公司弱什么？公司做什么？因素是什么？更多的与经营环节有效结合，突破单纯财务领域，进入人力、绩效、决策、管理、细节等等。
注意非财务指标关注：
A、市场占有率=本企业某种商品销售量（额）/该种商品市场总量（额）×100%
B、客户满意度：
产品交货及时率=及时交货次数/交货总次数×100%
客户获得率=本期新增客户量/企业期初客户量×100%
某客户盈利率=某客户的净利润/该客户的服务成本×100%
C、员工满意度：
员工培训费用率=员工培训费用/销售收入×100%
大学生毕业人数比率=大学以上毕业人数/企业全部职工人数×100%
D、技术创新：
研究开发费用率=研究开发费用/销售收入×100%
E、业务流程：
生产能力利用率=实际产能/计划产能×100%
F、市场营销：
广告费用比率=广告费用/销售收入×100%
G、社会生态环保指标：
减少能源消耗类指标、控制污染类指标、环境改善投入类指标。</t>
        </r>
      </text>
    </comment>
    <comment ref="A3" authorId="0">
      <text>
        <r>
          <rPr>
            <sz val="9"/>
            <rFont val="宋体"/>
            <charset val="134"/>
          </rPr>
          <t xml:space="preserve">LJG:
财务分析内容：
1、资金、资本结构合理性分析；
2、经营动态协调性分析；
3、长短期偿债能力、经营风险、财务风险分析；
4、利润构成合理性分析，包括收入、成本、费用分析；
5、盈利能力稳定性和可增长性分析；
6、经营管理能力效果分析；
7、内外部发展能力分析；
8、投资项目经济可行性分析；
9、现金流输血、造血、放血分析；
10、企业效绩综合性评价分析。
财务分析提示：
1、清楚阅读对象和分析范围；
2、有的放矢，捕获真正的要点及需求点；
3、具备职业敏感性，洞悉数据背后的故事；
4、报表数据具有一定的局限性；
5、考虑表外因素的影响，有时影响巨大；
6、注意剔除偶发性和粉饰性的影响，以更好的刺破面纱揭示经营本质。
</t>
        </r>
      </text>
    </comment>
    <comment ref="A4" authorId="0">
      <text>
        <r>
          <rPr>
            <sz val="9"/>
            <rFont val="宋体"/>
            <charset val="134"/>
          </rPr>
          <t>LJG:
其他增强因素：可动用的银行贷款指标、准备很快变现的非流动资产、偿债能力的声誉。
其他降低因素：与担保有关的或有负债、经营租赁合同中的承诺付款、建造合同和长期资产购置合同中的分期付款。
企业拥有长短期偿债能力，则表现为现金支付能力始终为正。企业缺乏长期偿债能 力，如不采取措施，经过一段时期经营之后表现为短期偿债能力不足，进而表现为 现金支付能力为负。</t>
        </r>
      </text>
    </comment>
    <comment ref="A5" authorId="0">
      <text>
        <r>
          <rPr>
            <sz val="9"/>
            <rFont val="宋体"/>
            <charset val="134"/>
          </rPr>
          <t>LJG:
一般工业企业营运资本相当于1～3个月的营业额较合理安全。营运资本应大于长期债务为宜。
一般情况下，要求企业的营运资本为正，表明长期资本的数额大于长期资产，超出部分被用于流动资产。特殊情况下，如在某些先收货和销售、后支付货款的企业（如零售商业），营运资本为负也是正常的。
营运资本配置比率=营运资本÷流动资产
营运资本作为安全边际是流动负债穿透流动资产的缓冲垫，以相对数比较比绝对数比较更能看出缓冲垫到底是加厚增强了，还是变薄减弱了。</t>
        </r>
      </text>
    </comment>
    <comment ref="B5" authorId="0">
      <text>
        <r>
          <rPr>
            <sz val="9"/>
            <rFont val="宋体"/>
            <charset val="134"/>
          </rPr>
          <t xml:space="preserve">LJG:
考核企业经营协调性三大指标为：
营运资本＝长期资本－长期资产=流动资产－流动负债
营运资金需求＝存货＋预付账款＋应收账款－预收账款－应付账款－应交税费－应付职工薪酬
现金支付能力＝营运资本－营运资金需求＝（货币资金＋交易性金融资产＋应收票据）－（短期借款＋交易性金融负债＋应付票据）
在没有增资扩股情况下：营运过程的现金支付能力＝营业利润－新增运营资金需求（存货增减净额＋应收账款增减净额－应付账款增减净额）
</t>
        </r>
      </text>
    </comment>
    <comment ref="A6" authorId="0">
      <text>
        <r>
          <rPr>
            <sz val="9"/>
            <rFont val="宋体"/>
            <charset val="134"/>
          </rPr>
          <t>LJG:
不存在统一标准的流动比率值，不同行业有明显差别，许多成功企业的流动比率都低于2。流动资产的变现金额和时间差异，流动负债可以滚动存续，则流动比率是粗略估计。
流动比率降低，对于工业企业，可能意味着形势恶化，但对于商业企业，则并不一 定，要看实现利润的增长情况。
如果流动比率和速动比率明显过高，说明企业资金没有被充分利用，企业有较大的负债发展能力，如果在此基础上，随着实现利润的减少，企业偿债能力出现较大的 下降，则说明企业对利润的变化极其敏感，产品盈利能力较差，经营杠杆系数很强。</t>
        </r>
      </text>
    </comment>
    <comment ref="A7" authorId="0">
      <text>
        <r>
          <rPr>
            <sz val="9"/>
            <rFont val="宋体"/>
            <charset val="134"/>
          </rPr>
          <t>LJG:
同流动比率一样，不同行业的速动比率差异较大。如大量现金销售的，几乎没有应收款项，速动比率大大低于1很正常，而一些应收款项较多的企业，速动比率可能要大于1。
速动比率提高，表明企业经营形势改善，企业活力增强，但速动比率下降则表示企业可能出现短期偿债困难，特别同现金支付能力的变化结合比较，更能说明企业短期偿债能力。</t>
        </r>
      </text>
    </comment>
    <comment ref="B7" authorId="0">
      <text>
        <r>
          <rPr>
            <sz val="9"/>
            <rFont val="宋体"/>
            <charset val="134"/>
          </rPr>
          <t>LJG:
速动资产：货币资金、交易性金融资产、应收票据、应收账款、应收利息、应收股利、其他应收款。非速动资产：存货、预付账款、1年内到期的非流动资产及其他流动资产等。
速动资产够用天数＝速动资产/预计营业支出总额×365天
企业血压指标=（流动负债 －速动资产 ）/ 流动负债 *100％ 太低则代表公司财务政策保守，可能缺乏流动资金供应需求，因而影响企业活力；太高则代表偿债能力不够，可能有无法清偿债务的危险。</t>
        </r>
      </text>
    </comment>
    <comment ref="B9" authorId="0">
      <text>
        <r>
          <rPr>
            <sz val="9"/>
            <rFont val="宋体"/>
            <charset val="134"/>
          </rPr>
          <t>LJG:
流动负债采用期末数而非平均数。</t>
        </r>
      </text>
    </comment>
    <comment ref="A10" authorId="0">
      <text>
        <r>
          <rPr>
            <sz val="9"/>
            <rFont val="宋体"/>
            <charset val="134"/>
          </rPr>
          <t>LJG:
其他因素：长期租赁、债务担保、未决诉讼。
企业拥有长短期偿债能力，则表现为现金支付能力始终为正。企业缺乏长期偿债能 力，如不采取措施，经过一段时期经营之后表现为短期偿债能力不足，进而表现为 现金支付能力为负。</t>
        </r>
      </text>
    </comment>
    <comment ref="A11" authorId="0">
      <text>
        <r>
          <rPr>
            <sz val="9"/>
            <rFont val="宋体"/>
            <charset val="134"/>
          </rPr>
          <t>LJG:
通常资产破产拍卖时的售价不到账面价值的50%，因此如果资产负债率高于50%，则债权人的利益就缺乏保障。
自有资金利润率应大于银行借款利率，才能说明负债经营正确，企业则通过举债发展扩大了生产经营规模，新增生产能力所创造的利润在支付银行利息之后增加了企业的实现利润。</t>
        </r>
      </text>
    </comment>
    <comment ref="F11" authorId="0">
      <text>
        <r>
          <rPr>
            <sz val="9"/>
            <rFont val="宋体"/>
            <charset val="134"/>
          </rPr>
          <t>LJG:
保守不高于50%</t>
        </r>
      </text>
    </comment>
    <comment ref="A12" authorId="0">
      <text>
        <r>
          <rPr>
            <sz val="9"/>
            <rFont val="宋体"/>
            <charset val="134"/>
          </rPr>
          <t>LJG:
也叫资本负债率，保守100％，我国200％为宜。产权比率高是高风险高报酬的财务结构；产权比率低是低风险低报酬的财务结构。</t>
        </r>
      </text>
    </comment>
    <comment ref="A14" authorId="0">
      <text>
        <r>
          <rPr>
            <sz val="9"/>
            <rFont val="宋体"/>
            <charset val="134"/>
          </rPr>
          <t>LJG:
反映企业长期资本结构，由于流动负债的金额经常变化，资本结构管理大多适用长期资本结构。
负债经营率＝非流动负债总额/所有者权益总额×100％</t>
        </r>
      </text>
    </comment>
    <comment ref="A15" authorId="0">
      <text>
        <r>
          <rPr>
            <sz val="9"/>
            <rFont val="宋体"/>
            <charset val="134"/>
          </rPr>
          <t>LJG:
从长期看应大于1</t>
        </r>
      </text>
    </comment>
    <comment ref="B15" authorId="0">
      <text>
        <r>
          <rPr>
            <sz val="9"/>
            <rFont val="宋体"/>
            <charset val="134"/>
          </rPr>
          <t>LJG:
利息费用是指本期的全部应付利息，包括资本化的利息，金额小，为简化核算，可将利息费用用财务费用代替。
息税前利润EBIT=(净利润+利息费用+所得税费用)</t>
        </r>
      </text>
    </comment>
    <comment ref="A16" authorId="0">
      <text>
        <r>
          <rPr>
            <sz val="9"/>
            <rFont val="宋体"/>
            <charset val="134"/>
          </rPr>
          <t>LJG:
应大于1</t>
        </r>
      </text>
    </comment>
    <comment ref="F16" authorId="0">
      <text>
        <r>
          <rPr>
            <sz val="9"/>
            <rFont val="宋体"/>
            <charset val="134"/>
          </rPr>
          <t>LJG:
按10%资金成本率和债务总额的50%为带息负债来测定。</t>
        </r>
      </text>
    </comment>
    <comment ref="A17" authorId="0">
      <text>
        <r>
          <rPr>
            <sz val="9"/>
            <rFont val="宋体"/>
            <charset val="134"/>
          </rPr>
          <t>LJG:
债务本息偿还比率＝经营活动现金净流量/（债务利息＋债务本金）</t>
        </r>
      </text>
    </comment>
    <comment ref="B17" authorId="0">
      <text>
        <r>
          <rPr>
            <sz val="9"/>
            <rFont val="宋体"/>
            <charset val="134"/>
          </rPr>
          <t xml:space="preserve">LJG:
债务总额采用期末数而非平均数。
</t>
        </r>
      </text>
    </comment>
    <comment ref="A18" authorId="0">
      <text>
        <r>
          <rPr>
            <sz val="9"/>
            <rFont val="宋体"/>
            <charset val="134"/>
          </rPr>
          <t>LJG:
资金的周转速度说明企业经营业务的活跃程度，是衡量企业生命力的指标。
指标不配比的情况：销售收入为不含增值税的销售额，而向客户收取的应收账款则为包含了增值税的。这样就不同程度地缩小了被评价单位的应收账款周转率，不能真实地反映应收账款的流转情况。
营业周期。是从外购承担付款义务到收回因销售商品或提供劳务而产生的应收账款的这段时间。其计算公式为：营业周期＝存货周转天数＋应收账款周转天数＋预付账款周转天数。
现金周期。其计算公式为：现金周期＝营业周期－应付账款周转天数－预收账款周转天数。分析现金周期必须注意，该指标既影响公司经营决策又影响公司财务决策，并且人们可能忽略对这两种决策的错误管理。</t>
        </r>
      </text>
    </comment>
    <comment ref="A19" authorId="0">
      <text>
        <r>
          <rPr>
            <sz val="9"/>
            <rFont val="宋体"/>
            <charset val="134"/>
          </rPr>
          <t>LJG:
应注意：1、销售收入的赊销比例问题；2、应收账款年末余额的可靠性问题，使用平均数；3、应收账款的减值准备问题，应不扣除；4、应收票据是否计入应收账款周转率，应计入；5、周转天数不一定越少越好，应考虑信用期；6、分析应与销售额分析和现金分析相联系。</t>
        </r>
      </text>
    </comment>
    <comment ref="B19" authorId="0">
      <text>
        <r>
          <rPr>
            <sz val="9"/>
            <rFont val="宋体"/>
            <charset val="134"/>
          </rPr>
          <t>LJG:
因销售收入中包括现金销售的部分，因此不能真正反映账款的平均账龄，准确计算应以全年赊销商品收入总额代替。</t>
        </r>
      </text>
    </comment>
    <comment ref="A20" authorId="0">
      <text>
        <r>
          <rPr>
            <sz val="9"/>
            <rFont val="宋体"/>
            <charset val="134"/>
          </rPr>
          <t>LJG:
存货周转天数不是越少越好，要满足生产，保持一个最佳水平；重点关注应付账款、存货和应收账款（销售收入）及存货内部构成之间的关系。</t>
        </r>
      </text>
    </comment>
    <comment ref="B20" authorId="0">
      <text>
        <r>
          <rPr>
            <sz val="9"/>
            <rFont val="宋体"/>
            <charset val="134"/>
          </rPr>
          <t>LJG:
销售收入：评估资产的变现能力和分析各项资产的周转情况；
销售成本：评估存货管理的业绩。</t>
        </r>
      </text>
    </comment>
    <comment ref="A21" authorId="0">
      <text>
        <r>
          <rPr>
            <sz val="9"/>
            <rFont val="宋体"/>
            <charset val="134"/>
          </rPr>
          <t>LJG:
提高周转率有效途径：提高产品质量和功能的同时提高产品售价，扩大市场销售量，从而提高销售收入；减少存货、应收账款等的资金占用，从而降低流动资产占用。</t>
        </r>
      </text>
    </comment>
    <comment ref="A22" authorId="0">
      <text>
        <r>
          <rPr>
            <sz val="9"/>
            <rFont val="宋体"/>
            <charset val="134"/>
          </rPr>
          <t>LJG:
是一个综合性比率，严格意义上，应仅有经营性资产和负债被用于计算，即短期借款、交易性金融资产和超额现金等不是经营活动必需的应排除在外。</t>
        </r>
      </text>
    </comment>
    <comment ref="F22" authorId="0">
      <text>
        <r>
          <rPr>
            <sz val="9"/>
            <rFont val="宋体"/>
            <charset val="134"/>
          </rPr>
          <t>LJG:
零售业6.67-10次；销售飞机等高成本产品的工业制造业2.85-4次。</t>
        </r>
      </text>
    </comment>
    <comment ref="A23" authorId="0">
      <text>
        <r>
          <rPr>
            <sz val="9"/>
            <rFont val="宋体"/>
            <charset val="134"/>
          </rPr>
          <t>LJG:
反映非流动资产的管理效率，主要用于投资预算和项目管理分析，以确定投资与竞争战略是否一致，收购和剥离政策是否合理等。</t>
        </r>
      </text>
    </comment>
    <comment ref="A24" authorId="0">
      <text>
        <r>
          <rPr>
            <sz val="9"/>
            <rFont val="宋体"/>
            <charset val="134"/>
          </rPr>
          <t>LJG:
进行因素驱动分析，通常使用资产周转天数或资产与收入比，不使用资产周转次数。</t>
        </r>
      </text>
    </comment>
    <comment ref="A26" authorId="0">
      <text>
        <r>
          <rPr>
            <sz val="9"/>
            <rFont val="宋体"/>
            <charset val="134"/>
          </rPr>
          <t>LJG:
现金流量净利比=经营活动现金流量净额÷营业净利润（在所得税税率25%下扣除突发损益的营业净利润）
标准：75%—135%。制造业接近125%—135%上限，服务业接近75%—85%的下限。</t>
        </r>
      </text>
    </comment>
    <comment ref="A27" authorId="0">
      <text>
        <r>
          <rPr>
            <sz val="9"/>
            <rFont val="宋体"/>
            <charset val="134"/>
          </rPr>
          <t>LJG:
销售收入是利润表第一行数字，净利润是利润表最后一行数字，两者相除可概括企业的全部经营成果。
毛利率变动原因可分部门、分产品、分顾客群、分销售区域或分业务员进行分析，视分析的目的依据可取得的资料而定。</t>
        </r>
      </text>
    </comment>
    <comment ref="A28" authorId="0">
      <text>
        <r>
          <rPr>
            <sz val="9"/>
            <rFont val="宋体"/>
            <charset val="134"/>
          </rPr>
          <t>LJG:
是企业盈利能力的关键，因提高财务杠杆会同时增加企业风险，往往并不增加企业价值，则提高权益净利率的基本动力是总资产净利率。
是衡量公司综合效率的指标。其计算公式为：投资回报率＝税后净利÷资产总额＝销售净利率×总资产周转率。</t>
        </r>
      </text>
    </comment>
    <comment ref="B28" authorId="0">
      <text>
        <r>
          <rPr>
            <sz val="9"/>
            <rFont val="宋体"/>
            <charset val="134"/>
          </rPr>
          <t>LJG:
总资产净利率=销售净利率×总资产周转次数</t>
        </r>
      </text>
    </comment>
    <comment ref="A29" authorId="0">
      <text>
        <r>
          <rPr>
            <sz val="9"/>
            <rFont val="宋体"/>
            <charset val="134"/>
          </rPr>
          <t>LJG:
分母是股东的投入，分子式股东的所得，对于股权投资者来说，具有非常好的综合性，概括了企业的全部经营业绩和财务业绩。
反映股东账面投资额的盈利能力。权益报酬率＝税后净利÷股东权益＝销售净利率×总资产周转率×权益乘数＝投资回报率×权益乘数。高的权益报酬率通常说明公司有好的投资价值，但如果公司运用了较高的财务杠杆水平，则高的权益报酬率可能是过高的财务风险的结果。</t>
        </r>
      </text>
    </comment>
    <comment ref="A31" authorId="0">
      <text>
        <r>
          <rPr>
            <sz val="9"/>
            <rFont val="宋体"/>
            <charset val="134"/>
          </rPr>
          <t>LJG:
反映普通股股东愿意为每1元净利润支付的价格。
成熟市场上成熟公司有非常稳定的收益，通常其每股市价为每股收益的10至12倍。
市盈率反映了投资者对公司未来前景的预期，相当于每股收益的资本化。
如果有优先股，计算时净利润应扣除优先股股利。</t>
        </r>
      </text>
    </comment>
    <comment ref="B31" authorId="0">
      <text>
        <r>
          <rPr>
            <sz val="9"/>
            <rFont val="宋体"/>
            <charset val="134"/>
          </rPr>
          <t>LJG:
每股收益=普通股股东净利润÷流通在外普通股加权平均股数</t>
        </r>
      </text>
    </comment>
    <comment ref="A32" authorId="0">
      <text>
        <r>
          <rPr>
            <sz val="9"/>
            <rFont val="宋体"/>
            <charset val="134"/>
          </rPr>
          <t>LJG:
也称为市账率，反映普通股股东愿意为每1元净资产支付的价格，说明市场对公司资产质量的评价。每股净资产代表理论上的每股最低价值。股东权益应扣除优先股影响。</t>
        </r>
      </text>
    </comment>
    <comment ref="B32" authorId="0">
      <text>
        <r>
          <rPr>
            <sz val="9"/>
            <rFont val="宋体"/>
            <charset val="134"/>
          </rPr>
          <t>LJG:
计算市净率和每股净资产时，应使用资产负债表日流通在外普通股股数，而不是当期流通在外普通股加强平均数。每股净资产=普通股股东权益÷流通在外普通股股数</t>
        </r>
      </text>
    </comment>
    <comment ref="A33" authorId="0">
      <text>
        <r>
          <rPr>
            <sz val="9"/>
            <rFont val="宋体"/>
            <charset val="134"/>
          </rPr>
          <t>LJG:
也称为收入乘数。</t>
        </r>
      </text>
    </comment>
    <comment ref="B33" authorId="0">
      <text>
        <r>
          <rPr>
            <sz val="9"/>
            <rFont val="宋体"/>
            <charset val="134"/>
          </rPr>
          <t>LJG:
每股销售收入=销售收入÷流通在外普通股加权平均股数</t>
        </r>
      </text>
    </comment>
    <comment ref="A34" authorId="1">
      <text>
        <r>
          <rPr>
            <sz val="9"/>
            <rFont val="宋体"/>
            <charset val="134"/>
          </rPr>
          <t>LJG:
杜邦体系，是利用各主要财务比率之间的内在联系，对企业财务状况和经营成果进行综合系统评价的方法。该体系是以权益净利率为龙头，以资产净利率和权益乘数为分支，重点揭示企业获利能力及杠杆水平对权益净利率的影响，以及各相关指标间的相互作用关系。</t>
        </r>
      </text>
    </comment>
  </commentList>
</comments>
</file>

<file path=xl/comments9.xml><?xml version="1.0" encoding="utf-8"?>
<comments xmlns="http://schemas.openxmlformats.org/spreadsheetml/2006/main">
  <authors>
    <author>LJG</author>
    <author>Think</author>
  </authors>
  <commentList>
    <comment ref="A1" authorId="0">
      <text>
        <r>
          <rPr>
            <sz val="9"/>
            <rFont val="宋体"/>
            <charset val="134"/>
          </rPr>
          <t>LJG:
杜邦体系，是利用各主要财务比率之间的内在联系，对企业财务状况和经营成果进行综合系统评价的方法。该体系是以权益净利率为龙头，以资产净利率和权益乘数为分支，重点揭示企业获利能力及杠杆水平对权益净利率的影响，以及各相关指标间的相互作用关系。
局限性：1、总资产净利率的总资产与净利润不匹配，应修正为净利润/（有息负债+股东权益）；2、没区分经营活动损益和金融活动损益；3、没区分金融负债与经营负债，利息与金融负债相除才是真正的平均利息率，金融负债与股东权益相除才是真正的财务杠杆。</t>
        </r>
      </text>
    </comment>
    <comment ref="Q4" authorId="1">
      <text>
        <r>
          <rPr>
            <sz val="9"/>
            <rFont val="宋体"/>
            <charset val="134"/>
          </rPr>
          <t>LJG:
股利支付率=每股股利÷每股净收益×100%=股利总额÷净利润总额
股利支付率+留存收益率=1</t>
        </r>
      </text>
    </comment>
    <comment ref="V4" authorId="1">
      <text>
        <r>
          <rPr>
            <sz val="9"/>
            <rFont val="宋体"/>
            <charset val="134"/>
          </rPr>
          <t>LJG:
帕利普财务分析体系：帕利普财务分析体系是美国哈佛大学教授帕利普(Palepu)对杜邦财务分析体系进行了变形、补充而发展起来的。帕利普将财务分析体系中的常用的财务比率一般被分为四大类：偿债能力比率、盈利比率、资产管理效率比率、现金流量比率。帕利普财务分析的原理是将某一个要分析的指标层层展开，这样便可探究财务指标发生变化的根本原因。
可持续增长率——统一财务比率：从长远看企业的价值取决于企业的盈利和增长能力。这两项能力又取决于其产品市场战略和资本市场战略；而产品市场战略包括企业的经营战略和投资战略，资本市场战略又包括融资战略和股利政策。财务分析的目的就是评价企业在经营管理、投资管理、融资战略和股利政策四个领域的管理效果。可持续增长率是企业在保持利润能力和财务政策不变的情况下能够达到的增长比率，它取决于净资产收益率和股利政策。因此，可持续增长率将企业的各种财务比率统一起来，以评估企业的增长战略是否可持续。</t>
        </r>
      </text>
    </comment>
  </commentList>
</comments>
</file>

<file path=xl/sharedStrings.xml><?xml version="1.0" encoding="utf-8"?>
<sst xmlns="http://schemas.openxmlformats.org/spreadsheetml/2006/main" count="2764" uniqueCount="1525">
  <si>
    <t>财 务 必 备 财 务 表</t>
  </si>
  <si>
    <t>资产负债表</t>
  </si>
  <si>
    <t>资产负债表结构比</t>
  </si>
  <si>
    <t>财务预警分析</t>
  </si>
  <si>
    <t>管理用资产负债表</t>
  </si>
  <si>
    <t>资产负债表分析</t>
  </si>
  <si>
    <t>管理用利润表</t>
  </si>
  <si>
    <t>损益表及结构比</t>
  </si>
  <si>
    <t>管理用现金流量表</t>
  </si>
  <si>
    <t>表外数据录入</t>
  </si>
  <si>
    <t>现金流量表</t>
  </si>
  <si>
    <t>管理比率分析</t>
  </si>
  <si>
    <t>改善的杜邦分析体系</t>
  </si>
  <si>
    <t>所有者权益变动表</t>
  </si>
  <si>
    <t>管理用预测资产负债表</t>
  </si>
  <si>
    <t>财务比率分析</t>
  </si>
  <si>
    <t>管理用预测利润表</t>
  </si>
  <si>
    <t>财务指标税负监控表</t>
  </si>
  <si>
    <t>传统杜邦财务分析体系</t>
  </si>
  <si>
    <t>行业绩效评价标准均值</t>
  </si>
  <si>
    <t>固定资产更新决策模型</t>
  </si>
  <si>
    <t>财务年度收支对比表</t>
  </si>
  <si>
    <t>投资决策模型</t>
  </si>
  <si>
    <t>财务月度对比分析图</t>
  </si>
  <si>
    <t>使用说明</t>
  </si>
  <si>
    <t>管理会计财务报表分析模板</t>
  </si>
  <si>
    <t>序号</t>
  </si>
  <si>
    <t>工 作 表</t>
  </si>
  <si>
    <t>常用工作表名</t>
  </si>
  <si>
    <t>解说</t>
  </si>
  <si>
    <t>资产负债表（进入）</t>
  </si>
  <si>
    <t>本模版是最新的企业会计准则和相关管控指标编制而成，带批注释义和嵌套公式。黄色区域为公式区会自动计算数据禁止擅自改动；空白区域为输入区需要根据公司实际数据录入；蓝色区域为项目区不需要输入任何信息。期初数据根据上期数据据实分析填列。增加返回按钮可直接切换到目录列表。</t>
  </si>
  <si>
    <t>结构比</t>
  </si>
  <si>
    <t>利润表</t>
  </si>
  <si>
    <t>税负监控</t>
  </si>
  <si>
    <t>老杜邦</t>
  </si>
  <si>
    <t>老杜邦率</t>
  </si>
  <si>
    <t>传统杜邦财务分析体系2</t>
  </si>
  <si>
    <t>收支对比</t>
  </si>
  <si>
    <t>收支分析</t>
  </si>
  <si>
    <t>财务预警</t>
  </si>
  <si>
    <t>管理用资负表</t>
  </si>
  <si>
    <t>管理用现流表</t>
  </si>
  <si>
    <t>管理比率</t>
  </si>
  <si>
    <t>新杜邦</t>
  </si>
  <si>
    <t>预测负债表</t>
  </si>
  <si>
    <t>预测利润表</t>
  </si>
  <si>
    <t>行业绩效标准</t>
  </si>
  <si>
    <t>贷款额度</t>
  </si>
  <si>
    <t>新增贷款额度测算表</t>
  </si>
  <si>
    <t>投资决策</t>
  </si>
  <si>
    <t>更新决策</t>
  </si>
  <si>
    <t>财务计划</t>
  </si>
  <si>
    <t>财务计划模型</t>
  </si>
  <si>
    <t>EOQ模型</t>
  </si>
  <si>
    <t>存货管理模型</t>
  </si>
  <si>
    <t>租赁模型</t>
  </si>
  <si>
    <t>租赁筹资基本模型</t>
  </si>
  <si>
    <t>按揭模型</t>
  </si>
  <si>
    <t>按揭测算模型</t>
  </si>
  <si>
    <t>敏感分析</t>
  </si>
  <si>
    <t>利润敏感性分析模型</t>
  </si>
  <si>
    <t>安全率</t>
  </si>
  <si>
    <t>企业安全率模型</t>
  </si>
  <si>
    <t>个税计算器</t>
  </si>
  <si>
    <t>2019年新版个税计算器</t>
  </si>
  <si>
    <t>时间序列</t>
  </si>
  <si>
    <t>时间序列预测分析</t>
  </si>
  <si>
    <t>现金预算</t>
  </si>
  <si>
    <t>应收款账龄</t>
  </si>
  <si>
    <t>应收账款账龄分析表</t>
  </si>
  <si>
    <t>诊断分析</t>
  </si>
  <si>
    <t>战略计划矩阵</t>
  </si>
  <si>
    <t>采购决策</t>
  </si>
  <si>
    <t>自制和外购决策</t>
  </si>
  <si>
    <t>企业价值</t>
  </si>
  <si>
    <t>企业价值评估</t>
  </si>
  <si>
    <t>比重绩效评分模型</t>
  </si>
  <si>
    <t>总生产成本分析表</t>
  </si>
  <si>
    <t>总生产成本年度比较表</t>
  </si>
  <si>
    <t>生产成本汇总表</t>
  </si>
  <si>
    <t>A产品成本分析表</t>
  </si>
  <si>
    <t>B产品成本分析表</t>
  </si>
  <si>
    <t>C产品成本分析表</t>
  </si>
  <si>
    <t>D产品成本分析表</t>
  </si>
  <si>
    <t>E产品成本分析表</t>
  </si>
  <si>
    <t>F产品成本分析表</t>
  </si>
  <si>
    <t>G产品成本分析表</t>
  </si>
  <si>
    <t>其他产品成本表</t>
  </si>
  <si>
    <t>主要产品单位成本分析表</t>
  </si>
  <si>
    <t>资 产 负 债 表</t>
  </si>
  <si>
    <r>
      <rPr>
        <b/>
        <sz val="10"/>
        <color indexed="10"/>
        <rFont val="微软雅黑"/>
        <charset val="134"/>
      </rPr>
      <t>年</t>
    </r>
    <r>
      <rPr>
        <b/>
        <sz val="10"/>
        <color indexed="10"/>
        <rFont val="微软雅黑"/>
        <charset val="134"/>
      </rPr>
      <t xml:space="preserve">    </t>
    </r>
    <r>
      <rPr>
        <b/>
        <sz val="10"/>
        <color indexed="10"/>
        <rFont val="微软雅黑"/>
        <charset val="134"/>
      </rPr>
      <t>月</t>
    </r>
    <r>
      <rPr>
        <b/>
        <sz val="10"/>
        <color indexed="10"/>
        <rFont val="微软雅黑"/>
        <charset val="134"/>
      </rPr>
      <t xml:space="preserve">    </t>
    </r>
    <r>
      <rPr>
        <b/>
        <sz val="10"/>
        <color indexed="10"/>
        <rFont val="微软雅黑"/>
        <charset val="134"/>
      </rPr>
      <t>日</t>
    </r>
  </si>
  <si>
    <t xml:space="preserve">单位：元 </t>
  </si>
  <si>
    <t>资    产</t>
  </si>
  <si>
    <t>年 末 余 额</t>
  </si>
  <si>
    <t>年 初 余 额</t>
  </si>
  <si>
    <t>负债和所有者权益</t>
  </si>
  <si>
    <t>流动资产：</t>
  </si>
  <si>
    <t>流动负债：</t>
  </si>
  <si>
    <t>货币资金</t>
  </si>
  <si>
    <t>短期借款</t>
  </si>
  <si>
    <t>交易性金融资产</t>
  </si>
  <si>
    <t>交易性金融负债</t>
  </si>
  <si>
    <t>应收票据</t>
  </si>
  <si>
    <t>应付票据</t>
  </si>
  <si>
    <t>应收账款</t>
  </si>
  <si>
    <t>应付账款</t>
  </si>
  <si>
    <t>预付账款</t>
  </si>
  <si>
    <t>预收账款</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</si>
  <si>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</si>
  <si>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</si>
  <si>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</si>
  <si>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</si>
  <si>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</si>
  <si>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</si>
  <si>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</si>
  <si>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</si>
  <si>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</si>
  <si>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</si>
  <si>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</si>
  <si>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</si>
  <si>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流动资产合计</t>
  </si>
  <si>
    <t>其他流动负债</t>
  </si>
  <si>
    <t>非流动资产：</t>
  </si>
  <si>
    <t>流动负债合计</t>
  </si>
  <si>
    <t>可供出售金融资产</t>
  </si>
  <si>
    <t>非流动负债：</t>
  </si>
  <si>
    <t>持有至到期投资</t>
  </si>
  <si>
    <t>长期借款</t>
  </si>
  <si>
    <t>长期应收款</t>
  </si>
  <si>
    <t>应付债券</t>
  </si>
  <si>
    <t>长期股权投资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</si>
  <si>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</si>
  <si>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</si>
  <si>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</si>
  <si>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</si>
  <si>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</si>
  <si>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</si>
  <si>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</si>
  <si>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</si>
  <si>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</si>
  <si>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</si>
  <si>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</si>
  <si>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生产性生物资产</t>
  </si>
  <si>
    <t>负债合计</t>
  </si>
  <si>
    <t>油气资产</t>
  </si>
  <si>
    <t>所有者权益：</t>
  </si>
  <si>
    <t>无形资产</t>
  </si>
  <si>
    <t>实收资本（或股本）</t>
  </si>
  <si>
    <t>开发支出</t>
  </si>
  <si>
    <t>资本公积</t>
  </si>
  <si>
    <t>商誉</t>
  </si>
  <si>
    <t>减：库存股</t>
  </si>
  <si>
    <t>长期待摊费用</t>
  </si>
  <si>
    <t>盈余公积</t>
  </si>
  <si>
    <t>递延所得税资产</t>
  </si>
  <si>
    <t>未分配利润</t>
  </si>
  <si>
    <t>其他非流动资产</t>
  </si>
  <si>
    <t>所有者权益合计</t>
  </si>
  <si>
    <t>非流动资产合计</t>
  </si>
  <si>
    <t>资产总计</t>
  </si>
  <si>
    <t>负债和所有者权益合计</t>
  </si>
  <si>
    <r>
      <rPr>
        <b/>
        <sz val="20"/>
        <rFont val="微软雅黑"/>
        <charset val="134"/>
      </rPr>
      <t>资</t>
    </r>
    <r>
      <rPr>
        <b/>
        <sz val="20"/>
        <rFont val="微软雅黑"/>
        <charset val="134"/>
      </rPr>
      <t xml:space="preserve"> </t>
    </r>
    <r>
      <rPr>
        <b/>
        <sz val="20"/>
        <rFont val="微软雅黑"/>
        <charset val="134"/>
      </rPr>
      <t>产</t>
    </r>
    <r>
      <rPr>
        <b/>
        <sz val="20"/>
        <rFont val="微软雅黑"/>
        <charset val="134"/>
      </rPr>
      <t xml:space="preserve"> </t>
    </r>
    <r>
      <rPr>
        <b/>
        <sz val="20"/>
        <rFont val="微软雅黑"/>
        <charset val="134"/>
      </rPr>
      <t>负</t>
    </r>
    <r>
      <rPr>
        <b/>
        <sz val="20"/>
        <rFont val="微软雅黑"/>
        <charset val="134"/>
      </rPr>
      <t xml:space="preserve"> </t>
    </r>
    <r>
      <rPr>
        <b/>
        <sz val="20"/>
        <rFont val="微软雅黑"/>
        <charset val="134"/>
      </rPr>
      <t>债</t>
    </r>
    <r>
      <rPr>
        <b/>
        <sz val="20"/>
        <rFont val="微软雅黑"/>
        <charset val="134"/>
      </rPr>
      <t xml:space="preserve"> </t>
    </r>
    <r>
      <rPr>
        <b/>
        <sz val="20"/>
        <rFont val="微软雅黑"/>
        <charset val="134"/>
      </rPr>
      <t>表</t>
    </r>
    <r>
      <rPr>
        <b/>
        <sz val="20"/>
        <rFont val="微软雅黑"/>
        <charset val="134"/>
      </rPr>
      <t xml:space="preserve"> </t>
    </r>
    <r>
      <rPr>
        <b/>
        <sz val="20"/>
        <rFont val="微软雅黑"/>
        <charset val="134"/>
      </rPr>
      <t>结</t>
    </r>
    <r>
      <rPr>
        <b/>
        <sz val="20"/>
        <rFont val="微软雅黑"/>
        <charset val="134"/>
      </rPr>
      <t xml:space="preserve"> </t>
    </r>
    <r>
      <rPr>
        <b/>
        <sz val="20"/>
        <rFont val="微软雅黑"/>
        <charset val="134"/>
      </rPr>
      <t>构</t>
    </r>
    <r>
      <rPr>
        <b/>
        <sz val="20"/>
        <rFont val="微软雅黑"/>
        <charset val="134"/>
      </rPr>
      <t xml:space="preserve"> </t>
    </r>
    <r>
      <rPr>
        <b/>
        <sz val="20"/>
        <rFont val="微软雅黑"/>
        <charset val="134"/>
      </rPr>
      <t>比</t>
    </r>
  </si>
  <si>
    <t>年末比率</t>
  </si>
  <si>
    <t>年初比率</t>
  </si>
  <si>
    <t>变  动</t>
  </si>
  <si>
    <t>损 益 表 及 结 构 比</t>
  </si>
  <si>
    <t xml:space="preserve">   年    月 </t>
  </si>
  <si>
    <t>项    目</t>
  </si>
  <si>
    <t>本 年 金 额</t>
  </si>
  <si>
    <t>上 年 金 额</t>
  </si>
  <si>
    <t>本年比率</t>
  </si>
  <si>
    <t>上年比率</t>
  </si>
  <si>
    <t>变 动</t>
  </si>
  <si>
    <t>一、营业收入</t>
  </si>
  <si>
    <t xml:space="preserve">  减：营业成本</t>
  </si>
  <si>
    <t xml:space="preserve">   营业税金及附加</t>
  </si>
  <si>
    <t xml:space="preserve">   销售费用</t>
  </si>
  <si>
    <t xml:space="preserve">   管理费用</t>
  </si>
  <si>
    <t xml:space="preserve">   财务费用</t>
  </si>
  <si>
    <t xml:space="preserve">   资产减值损失</t>
  </si>
  <si>
    <t xml:space="preserve">  加：公允价值变动净收益（损失以“－”号填列）</t>
  </si>
  <si>
    <t xml:space="preserve">   投资收益（损失以“－”号填列）</t>
  </si>
  <si>
    <t xml:space="preserve">   其中：对联营企业和合营企业的投资收益</t>
  </si>
  <si>
    <t>二、营业利润（亏损以“－”号填列）</t>
  </si>
  <si>
    <t xml:space="preserve">  加：营业外收入</t>
  </si>
  <si>
    <t xml:space="preserve">  减：营业外支出</t>
  </si>
  <si>
    <t xml:space="preserve">      其中：非流动资产处置损失</t>
  </si>
  <si>
    <t>三、利润总额（亏损总额以“－”号填列）</t>
  </si>
  <si>
    <t xml:space="preserve">  减：所得税费用</t>
  </si>
  <si>
    <t>四、净利润（净亏损以“－”号填列）</t>
  </si>
  <si>
    <t>五、每股收益：</t>
  </si>
  <si>
    <t>增加收入比率结构比将固定成本转化成变动成本，利于KPI绩效指标和战略预算的执行。</t>
  </si>
  <si>
    <t>（一）基本每股收益</t>
  </si>
  <si>
    <t>（二）稀释每股收益</t>
  </si>
  <si>
    <t>资 产 负 债 表 分 析</t>
  </si>
  <si>
    <t>会企 01 表</t>
  </si>
  <si>
    <t>年月日</t>
  </si>
  <si>
    <t>单位：元</t>
  </si>
  <si>
    <t>资产负债表简表</t>
  </si>
  <si>
    <t>流动负债</t>
  </si>
  <si>
    <t>流动资产</t>
  </si>
  <si>
    <t>非流动负债</t>
  </si>
  <si>
    <t>非流动资产</t>
  </si>
  <si>
    <t>总负债</t>
  </si>
  <si>
    <t>所有者权益</t>
  </si>
  <si>
    <t>资产负债表静态分析</t>
  </si>
  <si>
    <t>本年评价结论</t>
  </si>
  <si>
    <t>去年评价结论</t>
  </si>
  <si>
    <t>资产负债表关键指标分析</t>
  </si>
  <si>
    <t>经营改善大罗盘</t>
  </si>
  <si>
    <t>如何指导经营改善——财务到经营——大罗盘</t>
  </si>
  <si>
    <t>营运资金周转期</t>
  </si>
  <si>
    <t>经营的财务表现——关键指标“转速率”</t>
  </si>
  <si>
    <t>货币性资产</t>
  </si>
  <si>
    <t>货币性负债</t>
  </si>
  <si>
    <t>营运资金需求</t>
  </si>
  <si>
    <t>现金支付能力</t>
  </si>
  <si>
    <t>营运资本</t>
  </si>
  <si>
    <t>流动资产-流动负债</t>
  </si>
  <si>
    <t>可用资本</t>
  </si>
  <si>
    <t>长期资金来源-长期资金占用</t>
  </si>
  <si>
    <t>营运资本增长率</t>
  </si>
  <si>
    <t>经营活动的血液,是掌握经营效率,衡量管理效率的关键指标</t>
  </si>
  <si>
    <t>可用资本增长率</t>
  </si>
  <si>
    <t>销售增长率</t>
  </si>
  <si>
    <t>编制现金流量表所需表外数据录入</t>
  </si>
  <si>
    <t>项        目</t>
  </si>
  <si>
    <t>金     额</t>
  </si>
  <si>
    <t xml:space="preserve">  支付给职工的工资、奖金及各项津贴</t>
  </si>
  <si>
    <t>不含离退休人员和在建工程的职工</t>
  </si>
  <si>
    <t>养老保险金</t>
  </si>
  <si>
    <t>医疗保险金</t>
  </si>
  <si>
    <t>失业保险费</t>
  </si>
  <si>
    <t>住房公积金</t>
  </si>
  <si>
    <t>劳动保护费</t>
  </si>
  <si>
    <t xml:space="preserve">  支付给职工的其他福利费</t>
  </si>
  <si>
    <t>支付给职工以及为职工支付的现金合计</t>
  </si>
  <si>
    <t>增值税税率</t>
  </si>
  <si>
    <t>营业收入（17％增值税部分）</t>
  </si>
  <si>
    <t>营业收入（13％增值税部分）</t>
  </si>
  <si>
    <t>营业收入（6％增值税部分）</t>
  </si>
  <si>
    <t>营业收入（4％增值税部分）</t>
  </si>
  <si>
    <t>非应税项目营业收入(本栏仅供校验勾稽关系不计算销项税额)</t>
  </si>
  <si>
    <t>含其他行业营业收入</t>
  </si>
  <si>
    <t>销售旧固定资产销项及其他销项调整</t>
  </si>
  <si>
    <t>以净销项填列</t>
  </si>
  <si>
    <t>销项税额合计</t>
  </si>
  <si>
    <t>营业成本（17％增值税部分）</t>
  </si>
  <si>
    <t>营业成本（13％增值税部分）</t>
  </si>
  <si>
    <t>小规模纳税人营业成本(本栏仅供校验勾稽关系不计算进项税额)</t>
  </si>
  <si>
    <t>非增值税行业营业成本(本栏仅供校验勾稽关系不计算进项税额)</t>
  </si>
  <si>
    <t>购进运费（不含购进固定资产的运费）</t>
  </si>
  <si>
    <t>购进固定资产可抵扣进项及其他进项调整（含销售支付运费进项）</t>
  </si>
  <si>
    <t>以净进项填列</t>
  </si>
  <si>
    <t>存货增加额（17％部分）</t>
  </si>
  <si>
    <t>存货增加额（13％部分）</t>
  </si>
  <si>
    <t>存货其他部分调整</t>
  </si>
  <si>
    <t>小规模纳税人进货增加额(本栏仅供校验勾稽关系不计算进项税额)</t>
  </si>
  <si>
    <t>进项税额合计</t>
  </si>
  <si>
    <t>应交增值税</t>
  </si>
  <si>
    <t>在“营业税金及附加”科目列支的各项税费</t>
  </si>
  <si>
    <t>所得税</t>
  </si>
  <si>
    <t>管理费用中列支的税费</t>
  </si>
  <si>
    <t>未通过“应交税费”科目核算的其他税费</t>
  </si>
  <si>
    <t>支付的各项税费合计</t>
  </si>
  <si>
    <t>收到的税费返还合计</t>
  </si>
  <si>
    <t xml:space="preserve">      出口退税</t>
  </si>
  <si>
    <t xml:space="preserve">      流转税返还</t>
  </si>
  <si>
    <t xml:space="preserve">      所得税返还</t>
  </si>
  <si>
    <t xml:space="preserve">      财政扶持补贴</t>
  </si>
  <si>
    <t xml:space="preserve">      其他税收返还</t>
  </si>
  <si>
    <t>分配股利、利润或偿付利息所支付的现金合计</t>
  </si>
  <si>
    <t xml:space="preserve">    分配股利所支付的现金</t>
  </si>
  <si>
    <t xml:space="preserve">    分配利润所支付的现金</t>
  </si>
  <si>
    <t xml:space="preserve">    利息支出(根据财务费用科目明细提取，不抵减利息收入)</t>
  </si>
  <si>
    <t xml:space="preserve">            减：应收票据贴现利息支出</t>
  </si>
  <si>
    <t xml:space="preserve">    非经营性利息净支出</t>
  </si>
  <si>
    <t>计提的资产减值准备合计</t>
  </si>
  <si>
    <t>计提比例</t>
  </si>
  <si>
    <t xml:space="preserve">       坏账准备</t>
  </si>
  <si>
    <t xml:space="preserve">       交易性金融资产减值准备</t>
  </si>
  <si>
    <t xml:space="preserve">       存货跌价准备</t>
  </si>
  <si>
    <t xml:space="preserve">       可供出售金融资产减值准备</t>
  </si>
  <si>
    <t xml:space="preserve">       持有至到期投资减值准备</t>
  </si>
  <si>
    <t xml:space="preserve">       固定资产减值准备</t>
  </si>
  <si>
    <t xml:space="preserve">       无形资产减值准备</t>
  </si>
  <si>
    <t xml:space="preserve">       其他资产减值准备</t>
  </si>
  <si>
    <t>无形资产摊销</t>
  </si>
  <si>
    <t>长期待摊费用摊销</t>
  </si>
  <si>
    <t>固定资产报废损失</t>
  </si>
  <si>
    <t>处置固定资产、无形资产和其他长期资产的损失(减：损益)</t>
  </si>
  <si>
    <t>收到投资分红或利润</t>
  </si>
  <si>
    <t>处置固定资产和无形资产和其他长期资产收回的现金净额</t>
  </si>
  <si>
    <t>处置子公司及其他营业单位收到的现金净额</t>
  </si>
  <si>
    <t>收到的其他与投资活动有关的现金</t>
  </si>
  <si>
    <t>支付的其他与投资活动有关的现金</t>
  </si>
  <si>
    <t>收到的其他与筹资活动有关的现金</t>
  </si>
  <si>
    <t>支付的其他与筹资活动有关的现金</t>
  </si>
  <si>
    <t>库存商品改变用途应支付的销项</t>
  </si>
  <si>
    <t>借方应收和预收的对方科目为非营业收入和销项</t>
  </si>
  <si>
    <t>贷方应收和预收的对方科目为非现金类</t>
  </si>
  <si>
    <t>库存商品改变用途价值（如工程领用成本）</t>
  </si>
  <si>
    <t>库存商品盘亏损失</t>
  </si>
  <si>
    <t>当期列入生产成本、制造费用的工资及福利费</t>
  </si>
  <si>
    <t>当期列入生产成本、制造费用的折旧费和摊销的大修理费</t>
  </si>
  <si>
    <t>库存商品增加额中包含的分配进入的制造费用、生产工人工资</t>
  </si>
  <si>
    <t>借方应收和预收的对方科目为非现金类</t>
  </si>
  <si>
    <t>贷方应收和预收的对方科目为非营业成本和进项</t>
  </si>
  <si>
    <t>现 金 流 量 表</t>
  </si>
  <si>
    <t>现 金 流 量 方 向 分 析</t>
  </si>
  <si>
    <t>现金净流量方向</t>
  </si>
  <si>
    <t>一般方向性结论</t>
  </si>
  <si>
    <t>一、经营活动产生的现金流量：</t>
  </si>
  <si>
    <t>经营活动</t>
  </si>
  <si>
    <t>投资活动</t>
  </si>
  <si>
    <t>筹资活动</t>
  </si>
  <si>
    <t>销售商品、提供劳务收到的现金</t>
  </si>
  <si>
    <t>＋</t>
  </si>
  <si>
    <t>－</t>
  </si>
  <si>
    <t>表明企业处于高速发展扩张期。这时产品迅速占领市场，销售呈现快速上升趋势，表现为经营活动中大量货币资金回笼，同时为了扩大市场份额，企业仍需要大量追加投资，而仅靠经营活动现金流量净额远不能满足所追加投资，必须筹集必要的外部资金作为补充。但应注意分析投资项目的未来报酬率。</t>
  </si>
  <si>
    <t>收到的税费返还</t>
  </si>
  <si>
    <t>收到其他与经营活动有关的现金</t>
  </si>
  <si>
    <t>经营活动现金流入小计</t>
  </si>
  <si>
    <t>购买商品、接受劳务支付的现金</t>
  </si>
  <si>
    <t>表明企业经营状况良好，可在偿还前欠债务的同时继续投资，但应密切关注经营状况的变化，防止由于经营状况恶化而导致财务状况恶化。</t>
  </si>
  <si>
    <t>支付给职工以及为职工支付的现金</t>
  </si>
  <si>
    <t>支付的各项税费</t>
  </si>
  <si>
    <t>表明企业经营和投资收益良好，但仍在继续筹资，这时需要了解是否有良好的投资机会及效益，千万要警惕资金的浪费。</t>
  </si>
  <si>
    <t>支付其他与经营活动有关的现金支出</t>
  </si>
  <si>
    <t>经营活动现金流出小计</t>
  </si>
  <si>
    <t>表明企业进入成熟期。在这个阶段产品销售市场稳定，已进入投资回收期，经营及投资进入良性循环，财务状况稳定安全，但很多外部资金需要偿还，以保持企业良好的资信程度。</t>
  </si>
  <si>
    <t>经营活动产生的现金流量净额</t>
  </si>
  <si>
    <t>二、投资活动产生的现金流量：</t>
  </si>
  <si>
    <t>收回投资收到的现金</t>
  </si>
  <si>
    <t>表明有两种情况：A、企业处于初创阶段，企业需要投入大量资金，形成生产能力，开拓市场，其资金来源只有举债、融资等筹资活动。B、企业处于衰退阶段，靠举债维持日常生产经营活动，如度不过难关，再继续发展其前途非常危险。</t>
  </si>
  <si>
    <t>取得投资收益收到的现金</t>
  </si>
  <si>
    <t>处置固定资产、无形资产和其他长期资产收回的现金净额</t>
  </si>
  <si>
    <t>收到其他与投资活动有关的现金</t>
  </si>
  <si>
    <t>表明这种情况往往发生在盲目扩张后的企业，由于市场预测失误等原因，造成经营活动现金流出大于流入，投资收益低而造成亏损，使投入扩张的大量资金难以收回，财务状况异常危险。到期债务不能偿还。</t>
  </si>
  <si>
    <t>投资活动现金流入小计</t>
  </si>
  <si>
    <t>购建固定资产、无形资产和其他长期资产支付的现金</t>
  </si>
  <si>
    <t>投资支付的现金</t>
  </si>
  <si>
    <t>表明可以认为企业靠借债维持经营活动所需资金，财务状况可能恶化，应分析投资活动现金流入增加是来源于投资收益还是投资收回。如果是后者，企业面临非常严峻的形势。</t>
  </si>
  <si>
    <t>取得子公司及其他营业单位支付的现金净额</t>
  </si>
  <si>
    <t>支付其他与投资活动有关的现金</t>
  </si>
  <si>
    <t>投资活动现金流出小计</t>
  </si>
  <si>
    <t>表明可以认为企业处于衰退期。这个时期的特征是：市场萎缩，产品销售的市场占有率下降，经营活动现金流入小于流出，同时企业为了应付债务不得不大规模收回投资以弥补现金不足。如果投资活动现金流量来源于投资收益还好，如果来源于投资的回收，则企业将面临破产。</t>
  </si>
  <si>
    <t>投资活动产生的现金流量净额</t>
  </si>
  <si>
    <t>三、筹资活动产生的现金流量：</t>
  </si>
  <si>
    <t>吸收投资收到的现金</t>
  </si>
  <si>
    <t>取得借款收到的现金</t>
  </si>
  <si>
    <t>需用注意的是</t>
  </si>
  <si>
    <t>在判断企业的现金流量方向是否合理时，不能一概以第1组组合作为所有企业的合理模式，还应考虑企业所在行业的特征对现金流量的影响。</t>
  </si>
  <si>
    <t>收到其他与筹资活动有关的现金</t>
  </si>
  <si>
    <t>筹资活动现金流入小计</t>
  </si>
  <si>
    <t>评价结论</t>
  </si>
  <si>
    <t>偿还债务支付的现金</t>
  </si>
  <si>
    <t>分配股利、利润或偿付利息支付的现金</t>
  </si>
  <si>
    <t>支付其他与筹资活动有关的现金</t>
  </si>
  <si>
    <t>筹资活动现金流出小计</t>
  </si>
  <si>
    <t>筹资活动产生的现金流量净额</t>
  </si>
  <si>
    <t>可行性建议</t>
  </si>
  <si>
    <t>四、汇率变动对现金及现金等价物的影响</t>
  </si>
  <si>
    <t>五、现金及现金等价物净增加额</t>
  </si>
  <si>
    <t xml:space="preserve">    加：期初现金及现金等价物余额</t>
  </si>
  <si>
    <t>六、期末现金及现金等价物余额</t>
  </si>
  <si>
    <t>备注：主表和附表校验（现金净增加额）</t>
  </si>
  <si>
    <t>补 充 资 料</t>
  </si>
  <si>
    <t>现 金 流 量 与 净 利 润 差 异 分 析</t>
  </si>
  <si>
    <t>1．将净利润调节为经营活动现金流量：</t>
  </si>
  <si>
    <t xml:space="preserve">   净利润</t>
  </si>
  <si>
    <t xml:space="preserve">   加：资产减值准备</t>
  </si>
  <si>
    <t>一、企业有盈利能力，却无获取现金的能力：</t>
  </si>
  <si>
    <t xml:space="preserve">       固定资产折旧、油气资产折耗、生产性生物资产折旧</t>
  </si>
  <si>
    <t>1、净利润中有大量非经营性收益，如投资收益、处置非流动资产收益等。折射出企业盈利大都来自不确定的，偶发的非经营活动，此时净利润不能作为评价企业持续盈利能力的客观依据，须进行相关调整方可，注意是否有人为操纵非经营收益的情况。</t>
  </si>
  <si>
    <t xml:space="preserve">       无形资产摊销</t>
  </si>
  <si>
    <t xml:space="preserve">       长期待摊费用摊销</t>
  </si>
  <si>
    <t xml:space="preserve">       处置固定资产、无形资产和其他长期资产的损失（收益以“-”号填列）</t>
  </si>
  <si>
    <t>2、经营性项目中非现金流动资产如存货、应收账款等大量增加，或者流动负债如应付账款、增值税等大量减少。这类变动不影响净利润，但影响现金减少。非现金资产的大量增加折射出企业的资产流动性下降，除非企业应收账款、存货的增加是由于企业扩大生产经营规模引起的，相应的本期收入和成本较上期有相应增长；流动负债的大量减少折射出须有大量应收账款的回收来作补偿，否则，这种缺乏自偿性的做法将使企业的资产构成恶化，流动性大为降低。</t>
  </si>
  <si>
    <t xml:space="preserve">       固定资产报废损失（收益以“-”号填列）</t>
  </si>
  <si>
    <t xml:space="preserve">       公允价值变动损失（收益以“-”号填列）</t>
  </si>
  <si>
    <t xml:space="preserve">       财务费用（收益以“-”号填列）</t>
  </si>
  <si>
    <t>二、企业有获取现金的能力，却无盈利能力：</t>
  </si>
  <si>
    <t xml:space="preserve">       投资损失（收益以“-”号填列）</t>
  </si>
  <si>
    <r>
      <rPr>
        <sz val="10"/>
        <color indexed="12"/>
        <rFont val="微软雅黑"/>
        <charset val="134"/>
      </rPr>
      <t>1</t>
    </r>
    <r>
      <rPr>
        <sz val="10"/>
        <color indexed="12"/>
        <rFont val="微软雅黑"/>
        <charset val="134"/>
      </rPr>
      <t>、不减少现金的费用激增，如折旧、摊销、减值准备等。企业当期多计提不减少现金的费用通常有其财务动机，如上市公司防止被摘牌等。</t>
    </r>
  </si>
  <si>
    <t xml:space="preserve">       递延所得税资产减少（增加以“-”号填列）</t>
  </si>
  <si>
    <t xml:space="preserve">       递延所得税负债增加（减少以“-”号填列）</t>
  </si>
  <si>
    <r>
      <rPr>
        <sz val="10"/>
        <color indexed="12"/>
        <rFont val="微软雅黑"/>
        <charset val="134"/>
      </rPr>
      <t>2</t>
    </r>
    <r>
      <rPr>
        <sz val="10"/>
        <color indexed="12"/>
        <rFont val="微软雅黑"/>
        <charset val="134"/>
      </rPr>
      <t>、存在大量非经营性损失，主要是由利息负担沉重或是处置各项非流动资产的损失。应获取信息，分析原因，以辨别企业是否处于破产清算的境地。</t>
    </r>
  </si>
  <si>
    <t xml:space="preserve">       存货的减少（增加以“-”号填列）</t>
  </si>
  <si>
    <t xml:space="preserve">       经营性应收项目的减少（增加以“-”号填列）</t>
  </si>
  <si>
    <r>
      <rPr>
        <sz val="10"/>
        <color indexed="12"/>
        <rFont val="微软雅黑"/>
        <charset val="134"/>
      </rPr>
      <t>3</t>
    </r>
    <r>
      <rPr>
        <sz val="10"/>
        <color indexed="12"/>
        <rFont val="微软雅黑"/>
        <charset val="134"/>
      </rPr>
      <t>、经营性项目中存货、应收账款等流动资产大量减少，应付账款等流动负债大量增加。这类变动不影响净利润，但影响现金增加。应分析其具体原因是由于加强了资产负债管理，还是由于企业处于破产清算的边缘，不得不进行流动资产变现清偿债务。</t>
    </r>
  </si>
  <si>
    <t xml:space="preserve">       经营性应付项目的增加（减少以“-”号填列）</t>
  </si>
  <si>
    <t xml:space="preserve">       其他</t>
  </si>
  <si>
    <t>值得注意的是</t>
  </si>
  <si>
    <t>要想现金流量分析发挥其应有的作用，不能仅对其进行孤立的分析，只有和其他的财务分析结合起来，才能更好地了解企业的财务状况。</t>
  </si>
  <si>
    <t xml:space="preserve">       经营活动产生的现金流量净颤</t>
  </si>
  <si>
    <t>2．不涉及现金收支的重大投资和筹资活动：</t>
  </si>
  <si>
    <t xml:space="preserve">       债务转为资本</t>
  </si>
  <si>
    <t xml:space="preserve">       一年内到期的可转换公司债券</t>
  </si>
  <si>
    <t xml:space="preserve">       融资租入固定资产</t>
  </si>
  <si>
    <t>3．现金及现金等价物净变动情况：</t>
  </si>
  <si>
    <t xml:space="preserve">       现金的期末余额</t>
  </si>
  <si>
    <t xml:space="preserve">       减：现金的期初余额</t>
  </si>
  <si>
    <t xml:space="preserve">       加：现金等价物的期末余额</t>
  </si>
  <si>
    <t xml:space="preserve">       减：现金等价物的期初余额</t>
  </si>
  <si>
    <t xml:space="preserve">       现金及现金等价物净增加额</t>
  </si>
  <si>
    <t>所 有 者 权 益 变 动 表</t>
  </si>
  <si>
    <t>年  月  日</t>
  </si>
  <si>
    <t>项      目</t>
  </si>
  <si>
    <t xml:space="preserve">实收资本 </t>
  </si>
  <si>
    <t>一、上年年末余额</t>
  </si>
  <si>
    <t xml:space="preserve">    加：会计政策变更</t>
  </si>
  <si>
    <t xml:space="preserve">        前期差错更正</t>
  </si>
  <si>
    <t>二、本年年初余额</t>
  </si>
  <si>
    <t>三、本年增减变动金额</t>
  </si>
  <si>
    <t>（一）净利润</t>
  </si>
  <si>
    <t>（二）其他综合收益</t>
  </si>
  <si>
    <t>1．可供出售金融资产公允价值变动净额</t>
  </si>
  <si>
    <t>2．权益法下被投资单位其他所有者权益变动的影响</t>
  </si>
  <si>
    <t>3．与计入所有者权益项目相关的所得税影响</t>
  </si>
  <si>
    <t>4．其他</t>
  </si>
  <si>
    <t>上述（一）和（二）小计</t>
  </si>
  <si>
    <t>（三）所有者投入和减少资本</t>
  </si>
  <si>
    <t>1．所有者投入资本</t>
  </si>
  <si>
    <t>2．股份支付计入所有者权益的金额</t>
  </si>
  <si>
    <t>3．其他</t>
  </si>
  <si>
    <t>（四）利润分配</t>
  </si>
  <si>
    <t>1．提取盈余公积</t>
  </si>
  <si>
    <t>2．对所有者的分配</t>
  </si>
  <si>
    <t>（五）所有者权益内部结转</t>
  </si>
  <si>
    <t>1．资本公积转增资本</t>
  </si>
  <si>
    <t>2．盈余公积转增资本</t>
  </si>
  <si>
    <t>3．盈余公积弥朴亏损</t>
  </si>
  <si>
    <t>四、本年年末余额</t>
  </si>
  <si>
    <r>
      <rPr>
        <b/>
        <sz val="20"/>
        <rFont val="微软雅黑"/>
        <charset val="134"/>
      </rPr>
      <t>财</t>
    </r>
    <r>
      <rPr>
        <b/>
        <sz val="20"/>
        <rFont val="微软雅黑"/>
        <charset val="134"/>
      </rPr>
      <t xml:space="preserve"> </t>
    </r>
    <r>
      <rPr>
        <b/>
        <sz val="20"/>
        <rFont val="微软雅黑"/>
        <charset val="134"/>
      </rPr>
      <t>务</t>
    </r>
    <r>
      <rPr>
        <b/>
        <sz val="20"/>
        <rFont val="微软雅黑"/>
        <charset val="134"/>
      </rPr>
      <t xml:space="preserve"> </t>
    </r>
    <r>
      <rPr>
        <b/>
        <sz val="20"/>
        <rFont val="微软雅黑"/>
        <charset val="134"/>
      </rPr>
      <t>比</t>
    </r>
    <r>
      <rPr>
        <b/>
        <sz val="20"/>
        <rFont val="微软雅黑"/>
        <charset val="134"/>
      </rPr>
      <t xml:space="preserve"> </t>
    </r>
    <r>
      <rPr>
        <b/>
        <sz val="20"/>
        <rFont val="微软雅黑"/>
        <charset val="134"/>
      </rPr>
      <t>率</t>
    </r>
    <r>
      <rPr>
        <b/>
        <sz val="20"/>
        <rFont val="微软雅黑"/>
        <charset val="134"/>
      </rPr>
      <t xml:space="preserve"> </t>
    </r>
    <r>
      <rPr>
        <b/>
        <sz val="20"/>
        <rFont val="微软雅黑"/>
        <charset val="134"/>
      </rPr>
      <t>分</t>
    </r>
    <r>
      <rPr>
        <b/>
        <sz val="20"/>
        <rFont val="微软雅黑"/>
        <charset val="134"/>
      </rPr>
      <t xml:space="preserve"> </t>
    </r>
    <r>
      <rPr>
        <b/>
        <sz val="20"/>
        <rFont val="微软雅黑"/>
        <charset val="134"/>
      </rPr>
      <t>析</t>
    </r>
  </si>
  <si>
    <t>计 算 公 式</t>
  </si>
  <si>
    <t>本 年 数</t>
  </si>
  <si>
    <t>上 年 数</t>
  </si>
  <si>
    <t>变 动 数</t>
  </si>
  <si>
    <t>参考值</t>
  </si>
  <si>
    <t>一、短期偿债能力比率</t>
  </si>
  <si>
    <t>1、营运资本</t>
  </si>
  <si>
    <t>2、流动比率</t>
  </si>
  <si>
    <t>流动资产÷流动负债</t>
  </si>
  <si>
    <t>3、速动比率</t>
  </si>
  <si>
    <t>速动资产÷流动负债</t>
  </si>
  <si>
    <t>4、现金比率</t>
  </si>
  <si>
    <t>(货币资金+交易性金融资产)÷流动负债</t>
  </si>
  <si>
    <t>5、现金流量比率</t>
  </si>
  <si>
    <t>经营活动现金流量净额÷流动负债</t>
  </si>
  <si>
    <t>二、长期偿债能力比率</t>
  </si>
  <si>
    <t>1、资产负债率</t>
  </si>
  <si>
    <r>
      <rPr>
        <sz val="10"/>
        <rFont val="微软雅黑"/>
        <charset val="134"/>
      </rPr>
      <t>(总负债÷总资产)</t>
    </r>
    <r>
      <rPr>
        <sz val="10"/>
        <rFont val="微软雅黑"/>
        <charset val="134"/>
      </rPr>
      <t>×100%</t>
    </r>
  </si>
  <si>
    <t>2、产权比率</t>
  </si>
  <si>
    <t>总负债÷股东权益</t>
  </si>
  <si>
    <t>3、权益乘数</t>
  </si>
  <si>
    <t>总资产÷股东权益</t>
  </si>
  <si>
    <t>4、长期资本负债率</t>
  </si>
  <si>
    <r>
      <rPr>
        <sz val="10"/>
        <rFont val="微软雅黑"/>
        <charset val="134"/>
      </rPr>
      <t>[非流动负债÷(非流动负债+股东权益)]</t>
    </r>
    <r>
      <rPr>
        <sz val="10"/>
        <rFont val="微软雅黑"/>
        <charset val="134"/>
      </rPr>
      <t>×100%</t>
    </r>
  </si>
  <si>
    <t>5、利息保障倍数</t>
  </si>
  <si>
    <t>(净利润+利息费用+所得税费用)÷利息费用</t>
  </si>
  <si>
    <t>6、现金流量利息保障倍数</t>
  </si>
  <si>
    <t>经营活动现金流量净额÷利息费用</t>
  </si>
  <si>
    <t>7、现金流量债务比</t>
  </si>
  <si>
    <t>经营活动现金流量净额÷债务总额</t>
  </si>
  <si>
    <t>二、营运能力比率</t>
  </si>
  <si>
    <t>1、应收帐款周转率（次数）</t>
  </si>
  <si>
    <t>销售收入÷应收账款</t>
  </si>
  <si>
    <t>2、存货周转率（次数）</t>
  </si>
  <si>
    <t>销售收入÷存货</t>
  </si>
  <si>
    <t>3、流动资产周转率（次数）</t>
  </si>
  <si>
    <t>销售收入÷流动资产</t>
  </si>
  <si>
    <t>4、营运资本周转率（次数）</t>
  </si>
  <si>
    <t>销售收入÷营运资本</t>
  </si>
  <si>
    <t>5、非流动资产周转率（次数）</t>
  </si>
  <si>
    <t>销售收入÷非流动资产</t>
  </si>
  <si>
    <t>6、总资产周转率（次数）</t>
  </si>
  <si>
    <t>销售收入÷总资产</t>
  </si>
  <si>
    <t>7、现金流量资产比</t>
  </si>
  <si>
    <t>经营活动现金流量净额÷总资产</t>
  </si>
  <si>
    <t>三、盈利能力比率</t>
  </si>
  <si>
    <t>1、销售净利率</t>
  </si>
  <si>
    <r>
      <rPr>
        <sz val="10"/>
        <rFont val="微软雅黑"/>
        <charset val="134"/>
      </rPr>
      <t>(净利润÷销售收入)</t>
    </r>
    <r>
      <rPr>
        <sz val="10"/>
        <rFont val="微软雅黑"/>
        <charset val="134"/>
      </rPr>
      <t>×</t>
    </r>
    <r>
      <rPr>
        <sz val="10"/>
        <rFont val="微软雅黑"/>
        <charset val="134"/>
      </rPr>
      <t>100%</t>
    </r>
  </si>
  <si>
    <t>2、总资产净利率ROA</t>
  </si>
  <si>
    <r>
      <rPr>
        <sz val="10"/>
        <rFont val="微软雅黑"/>
        <charset val="134"/>
      </rPr>
      <t>(净利润÷总资产)</t>
    </r>
    <r>
      <rPr>
        <sz val="10"/>
        <rFont val="微软雅黑"/>
        <charset val="134"/>
      </rPr>
      <t>×</t>
    </r>
    <r>
      <rPr>
        <sz val="10"/>
        <rFont val="微软雅黑"/>
        <charset val="134"/>
      </rPr>
      <t>100%</t>
    </r>
  </si>
  <si>
    <t>3、权益净利率</t>
  </si>
  <si>
    <r>
      <rPr>
        <sz val="10"/>
        <rFont val="微软雅黑"/>
        <charset val="134"/>
      </rPr>
      <t>(净利润÷股东权益)</t>
    </r>
    <r>
      <rPr>
        <sz val="10"/>
        <rFont val="微软雅黑"/>
        <charset val="134"/>
      </rPr>
      <t>×</t>
    </r>
    <r>
      <rPr>
        <sz val="10"/>
        <rFont val="微软雅黑"/>
        <charset val="134"/>
      </rPr>
      <t>100%</t>
    </r>
  </si>
  <si>
    <t>四、市价比率</t>
  </si>
  <si>
    <t>1、市盈率</t>
  </si>
  <si>
    <t>每股市价÷每股收益</t>
  </si>
  <si>
    <t>2、市净率</t>
  </si>
  <si>
    <t>每股市价÷每股净资产</t>
  </si>
  <si>
    <t>3、市销率</t>
  </si>
  <si>
    <t>每股市价÷每股销售收入</t>
  </si>
  <si>
    <t>五、杜邦分析体系（旧）</t>
  </si>
  <si>
    <t>1、权益净利率ROE</t>
  </si>
  <si>
    <r>
      <rPr>
        <sz val="10"/>
        <rFont val="微软雅黑"/>
        <charset val="134"/>
      </rPr>
      <t>销售净利率</t>
    </r>
    <r>
      <rPr>
        <sz val="10"/>
        <rFont val="微软雅黑"/>
        <charset val="134"/>
      </rPr>
      <t>×总资产周转次数×权益乘数</t>
    </r>
  </si>
  <si>
    <t>财 务 指 标 税 负 监 控 表</t>
  </si>
  <si>
    <t>行业</t>
  </si>
  <si>
    <t>增值税</t>
  </si>
  <si>
    <t>副食品加工</t>
  </si>
  <si>
    <t>财 务 指 标</t>
  </si>
  <si>
    <t>期 末 数</t>
  </si>
  <si>
    <t>期 初 数</t>
  </si>
  <si>
    <t>分 析 指 标</t>
  </si>
  <si>
    <t>期 末 比 率</t>
  </si>
  <si>
    <t>期 初 比 率</t>
  </si>
  <si>
    <t>食品饮料</t>
  </si>
  <si>
    <t>流动比率</t>
  </si>
  <si>
    <t>纺织品（化纤）</t>
  </si>
  <si>
    <t>速动比率</t>
  </si>
  <si>
    <t>纺织服装、皮革羽毛（绒）及制品</t>
  </si>
  <si>
    <t>现金比率</t>
  </si>
  <si>
    <t>造纸机纸制品业</t>
  </si>
  <si>
    <t>销售额变动率</t>
  </si>
  <si>
    <t>建材产品</t>
  </si>
  <si>
    <t>存货周转率</t>
  </si>
  <si>
    <t>存货周转次数</t>
  </si>
  <si>
    <t>化工产品</t>
  </si>
  <si>
    <t>存货周转天数</t>
  </si>
  <si>
    <t>医药制造业</t>
  </si>
  <si>
    <t>应收账款周转率</t>
  </si>
  <si>
    <t>应收账款周转次数</t>
  </si>
  <si>
    <t>卷烟加工</t>
  </si>
  <si>
    <t>销售收入</t>
  </si>
  <si>
    <t>应收账款周转天数</t>
  </si>
  <si>
    <t>塑料制品业</t>
  </si>
  <si>
    <t>销售成本</t>
  </si>
  <si>
    <t>销售毛利率</t>
  </si>
  <si>
    <t>非金属矿物制品业</t>
  </si>
  <si>
    <t>资产总额</t>
  </si>
  <si>
    <t>销售成本增长率</t>
  </si>
  <si>
    <t>金融制品业</t>
  </si>
  <si>
    <t>负债总额</t>
  </si>
  <si>
    <t>成本毛利率</t>
  </si>
  <si>
    <t>机械交通运输设备</t>
  </si>
  <si>
    <t>净利润</t>
  </si>
  <si>
    <t>资产负债率</t>
  </si>
  <si>
    <t>电子通信设备</t>
  </si>
  <si>
    <t>增值税应纳税额</t>
  </si>
  <si>
    <t>成本利润率</t>
  </si>
  <si>
    <t>工业品及其他制造业</t>
  </si>
  <si>
    <t>所得税应纳税额</t>
  </si>
  <si>
    <t>收入成本率</t>
  </si>
  <si>
    <t>电气机械及器材</t>
  </si>
  <si>
    <t>增值税所属行业</t>
  </si>
  <si>
    <t>增值税税负率</t>
  </si>
  <si>
    <t>电力、热力的生产和供应业</t>
  </si>
  <si>
    <t>所得税所属行业</t>
  </si>
  <si>
    <t>所得税税负率</t>
  </si>
  <si>
    <t>商业批发</t>
  </si>
  <si>
    <t>商业零售</t>
  </si>
  <si>
    <t>增值税税负差异</t>
  </si>
  <si>
    <t>其他</t>
  </si>
  <si>
    <t>所得税税负差异</t>
  </si>
  <si>
    <t>税负率差异幅度＝（某企业税负率－本地区平均税负率）/本地区平均税负率×100％</t>
  </si>
  <si>
    <t>餐饮业</t>
  </si>
  <si>
    <t>税负率差异幅度低于负30％的，属于异常（绿字），否则，属于（红字）。</t>
  </si>
  <si>
    <t xml:space="preserve"> </t>
  </si>
  <si>
    <t>道路运输业</t>
  </si>
  <si>
    <t>电气机械及器材制造业</t>
  </si>
  <si>
    <t>房地产业</t>
  </si>
  <si>
    <t>纺织服装、鞋、帽制造业</t>
  </si>
  <si>
    <t>纺织业</t>
  </si>
  <si>
    <t>纺织业—袜业</t>
  </si>
  <si>
    <t>废弃资源和废旧材料回收加工业</t>
  </si>
  <si>
    <t>工艺品及其他制造业</t>
  </si>
  <si>
    <t>工艺品及其他制造业—珍珠</t>
  </si>
  <si>
    <t>化学原料及化学制品制造业</t>
  </si>
  <si>
    <t>计算机服务业</t>
  </si>
  <si>
    <t>家具制造业</t>
  </si>
  <si>
    <t>建筑安装业</t>
  </si>
  <si>
    <t>建筑材料制造业</t>
  </si>
  <si>
    <t>建筑材料制造业—水泥</t>
  </si>
  <si>
    <t>金属制品业</t>
  </si>
  <si>
    <t>金属制品业—弹簧</t>
  </si>
  <si>
    <t>金属制品业—轴瓦</t>
  </si>
  <si>
    <t>居民服务业</t>
  </si>
  <si>
    <t>零售业</t>
  </si>
  <si>
    <t>木材加工及木、竹、藤、棕、草制品业</t>
  </si>
  <si>
    <t>农、林、牧、渔服务业</t>
  </si>
  <si>
    <t>农副食品加工业</t>
  </si>
  <si>
    <t>批发业</t>
  </si>
  <si>
    <t>皮革、毛皮、羽毛（绒）及其制品业</t>
  </si>
  <si>
    <t>其他采矿业</t>
  </si>
  <si>
    <t>其他服务业</t>
  </si>
  <si>
    <t>其他建筑业</t>
  </si>
  <si>
    <t>其他制造业</t>
  </si>
  <si>
    <t>其他制造业—管业</t>
  </si>
  <si>
    <t>其他制造业—水暖管件</t>
  </si>
  <si>
    <t>商务服务业</t>
  </si>
  <si>
    <t>视频制造业</t>
  </si>
  <si>
    <t>通信设备、计算机及其他电子设备制造业</t>
  </si>
  <si>
    <t>通用设备制造业</t>
  </si>
  <si>
    <t>畜牧业</t>
  </si>
  <si>
    <t>饮料制造业</t>
  </si>
  <si>
    <t>印刷业和记录媒介的复制印刷</t>
  </si>
  <si>
    <t>娱乐业</t>
  </si>
  <si>
    <t>造纸及纸制品业</t>
  </si>
  <si>
    <t>专业机械制造业</t>
  </si>
  <si>
    <t>专业技术服务业</t>
  </si>
  <si>
    <t>专用设备制造业</t>
  </si>
  <si>
    <t>租赁业</t>
  </si>
  <si>
    <t>传 统 杜 邦 财 务 分 析 体 系 1</t>
  </si>
  <si>
    <t>单位：万元</t>
  </si>
  <si>
    <t>权益净利率</t>
  </si>
  <si>
    <t>股利支付率</t>
  </si>
  <si>
    <t>可持续增长率</t>
  </si>
  <si>
    <t>资产净利率</t>
  </si>
  <si>
    <t>权益乘数</t>
  </si>
  <si>
    <t>销售净利率</t>
  </si>
  <si>
    <t>总资产周转次数</t>
  </si>
  <si>
    <t>总资产</t>
  </si>
  <si>
    <t>成本费用</t>
  </si>
  <si>
    <t>营业税费及期间费用</t>
  </si>
  <si>
    <t>其他损益</t>
  </si>
  <si>
    <t>营业外收支</t>
  </si>
  <si>
    <t>所得税费用</t>
  </si>
  <si>
    <t>传 统 杜 邦 财 务 分 析 体 系 2</t>
  </si>
  <si>
    <t>总负债率</t>
  </si>
  <si>
    <t>净利润率</t>
  </si>
  <si>
    <t>成本费用率</t>
  </si>
  <si>
    <t>非流动负债率</t>
  </si>
  <si>
    <t>营业税费及期间费用率</t>
  </si>
  <si>
    <t>销售成本率</t>
  </si>
  <si>
    <t>非流动资产率</t>
  </si>
  <si>
    <t>流动资产率</t>
  </si>
  <si>
    <t>流动负债率</t>
  </si>
  <si>
    <t>其他损益率</t>
  </si>
  <si>
    <t>营业外收支率</t>
  </si>
  <si>
    <t>货币资金率</t>
  </si>
  <si>
    <t>应收账款率</t>
  </si>
  <si>
    <t>所得税费用率</t>
  </si>
  <si>
    <t>存货率</t>
  </si>
  <si>
    <t>其他率</t>
  </si>
  <si>
    <t>改 善 的 杜 邦 分 析 体 系</t>
  </si>
  <si>
    <t xml:space="preserve">年  月  日 </t>
  </si>
  <si>
    <t>权 益 净 利 率</t>
  </si>
  <si>
    <t>净经营资产净利率</t>
  </si>
  <si>
    <t>杠杆贡献率</t>
  </si>
  <si>
    <t>税后经营净利率</t>
  </si>
  <si>
    <t>净经营资产周转次数</t>
  </si>
  <si>
    <t>经营差异率</t>
  </si>
  <si>
    <t>净财务杠杆</t>
  </si>
  <si>
    <t>毛利率</t>
  </si>
  <si>
    <t>经营资产周转次数</t>
  </si>
  <si>
    <t>净负债</t>
  </si>
  <si>
    <t>收入管理</t>
  </si>
  <si>
    <t>成本管理</t>
  </si>
  <si>
    <t>存货管理</t>
  </si>
  <si>
    <t>税后利息率</t>
  </si>
  <si>
    <t>股东权益</t>
  </si>
  <si>
    <t>税费及期间费用率</t>
  </si>
  <si>
    <t>应收账款管理</t>
  </si>
  <si>
    <t>税后利息</t>
  </si>
  <si>
    <t>资本结构政策</t>
  </si>
  <si>
    <t>主要营业利润率</t>
  </si>
  <si>
    <t>应付账款管理</t>
  </si>
  <si>
    <t>利润留存政策</t>
  </si>
  <si>
    <t>其他营业利润率</t>
  </si>
  <si>
    <t>长期资产管理</t>
  </si>
  <si>
    <t>长期债务政策</t>
  </si>
  <si>
    <t>税前营业利润率</t>
  </si>
  <si>
    <t>经营负债与收入比</t>
  </si>
  <si>
    <t>营运资本政策</t>
  </si>
  <si>
    <t>短期经营负债管理</t>
  </si>
  <si>
    <t>税前经营利润率</t>
  </si>
  <si>
    <t>长期经营负债管理</t>
  </si>
  <si>
    <t>所得税与收入比</t>
  </si>
  <si>
    <t>财 务 年 度 收 支 对 比 表</t>
  </si>
  <si>
    <t>年  月   日</t>
  </si>
  <si>
    <t>月份</t>
  </si>
  <si>
    <t>本年度</t>
  </si>
  <si>
    <t>上年度</t>
  </si>
  <si>
    <t>增减金额</t>
  </si>
  <si>
    <t>增减比率</t>
  </si>
  <si>
    <t>营业收入</t>
  </si>
  <si>
    <t>营业成本</t>
  </si>
  <si>
    <t>期间费用</t>
  </si>
  <si>
    <t>税金及附加</t>
  </si>
  <si>
    <t>期间费用率</t>
  </si>
  <si>
    <t>销售税金率</t>
  </si>
  <si>
    <t>一、销售收入、成本、费用、税金对比图</t>
  </si>
  <si>
    <t>二、销售成本率、销售费用率、销售税金率对比图</t>
  </si>
  <si>
    <t>财 务 月 度 收 支 对 比 分 析 图</t>
  </si>
  <si>
    <t>销售费用</t>
  </si>
  <si>
    <t>营业税金及附加</t>
  </si>
  <si>
    <t>销售费用率</t>
  </si>
  <si>
    <t>合计</t>
  </si>
  <si>
    <t>一、销售收入、成本相关情况</t>
  </si>
  <si>
    <t>二、销售成本率变化情况</t>
  </si>
  <si>
    <t>回归函数为：</t>
  </si>
  <si>
    <t>平均值：</t>
  </si>
  <si>
    <t>(Y:销售成本   X:销售收入)</t>
  </si>
  <si>
    <t>标准差：</t>
  </si>
  <si>
    <t>相关系数为：</t>
  </si>
  <si>
    <t>三、销售收入、费用相关情况</t>
  </si>
  <si>
    <t>四、销售费用率变化情况</t>
  </si>
  <si>
    <t>(Y:销售费用   X:销售收入)</t>
  </si>
  <si>
    <t>五、销售收入、税金相关情况</t>
  </si>
  <si>
    <t>六、销售税金率变化情况</t>
  </si>
  <si>
    <t>(Y:销售税金   X:销售收入)</t>
  </si>
  <si>
    <t>财 务 预 警 分 析(阿 尔 曼 模 型)</t>
  </si>
  <si>
    <t>指 标 名 称</t>
  </si>
  <si>
    <t>系 数</t>
  </si>
  <si>
    <t>值</t>
  </si>
  <si>
    <t>备  注</t>
  </si>
  <si>
    <t>运营资金资产比率</t>
  </si>
  <si>
    <t>运营资金／资产总额</t>
  </si>
  <si>
    <t>适用于企业综合业绩评价及破产风险。</t>
  </si>
  <si>
    <t>留存收益资产比率</t>
  </si>
  <si>
    <t>留存收益／资产总额</t>
  </si>
  <si>
    <t>息税前收益资产比率</t>
  </si>
  <si>
    <t>息税前收益／资产总额</t>
  </si>
  <si>
    <t>权益市价债务比率</t>
  </si>
  <si>
    <t>权益市价／债务总额</t>
  </si>
  <si>
    <t>销售收入资产比率</t>
  </si>
  <si>
    <t>销售额／资产总额</t>
  </si>
  <si>
    <t>权益市价</t>
  </si>
  <si>
    <t>普通股优先股的股票的市场价值</t>
  </si>
  <si>
    <r>
      <rPr>
        <sz val="10"/>
        <rFont val="微软雅黑"/>
        <charset val="134"/>
      </rPr>
      <t>Z</t>
    </r>
    <r>
      <rPr>
        <sz val="10"/>
        <rFont val="微软雅黑"/>
        <charset val="134"/>
      </rPr>
      <t>值</t>
    </r>
    <r>
      <rPr>
        <sz val="10"/>
        <rFont val="微软雅黑"/>
        <charset val="134"/>
      </rPr>
      <t>(</t>
    </r>
    <r>
      <rPr>
        <sz val="10"/>
        <rFont val="微软雅黑"/>
        <charset val="134"/>
      </rPr>
      <t>按年末数计算</t>
    </r>
    <r>
      <rPr>
        <sz val="10"/>
        <rFont val="微软雅黑"/>
        <charset val="134"/>
      </rPr>
      <t>)</t>
    </r>
  </si>
  <si>
    <r>
      <rPr>
        <sz val="10"/>
        <rFont val="微软雅黑"/>
        <charset val="134"/>
      </rPr>
      <t>Z</t>
    </r>
    <r>
      <rPr>
        <sz val="10"/>
        <rFont val="微软雅黑"/>
        <charset val="134"/>
      </rPr>
      <t>临界值</t>
    </r>
  </si>
  <si>
    <t>判断结果</t>
  </si>
  <si>
    <t>管 理 用 资 产 负 债 表</t>
  </si>
  <si>
    <t>净经营资产</t>
  </si>
  <si>
    <t>年末余额</t>
  </si>
  <si>
    <t>年初余额</t>
  </si>
  <si>
    <t>净负债及股东权益</t>
  </si>
  <si>
    <t>经营资产：</t>
  </si>
  <si>
    <t>金融负债：</t>
  </si>
  <si>
    <t>经营性流动资产：</t>
  </si>
  <si>
    <t>货币资金（经营）</t>
  </si>
  <si>
    <t>应收票据（经营）</t>
  </si>
  <si>
    <t>应付票据（金融）</t>
  </si>
  <si>
    <t>优先股</t>
  </si>
  <si>
    <t>应收股利（经营）</t>
  </si>
  <si>
    <t>应付股利（金融）</t>
  </si>
  <si>
    <t>长期应付款（金融）</t>
  </si>
  <si>
    <t>经营性流动资产合计</t>
  </si>
  <si>
    <t>金融负债合计</t>
  </si>
  <si>
    <t>经营性流动负债：</t>
  </si>
  <si>
    <t>金融资产：</t>
  </si>
  <si>
    <t>应付票据（经营）</t>
  </si>
  <si>
    <t>货币资金（金融）</t>
  </si>
  <si>
    <t>应收票据（金融）</t>
  </si>
  <si>
    <t>应收股利（金融）</t>
  </si>
  <si>
    <t>应付股利（经营）</t>
  </si>
  <si>
    <t>经营性流动负债合计</t>
  </si>
  <si>
    <t>金融资产合计</t>
  </si>
  <si>
    <t>经营营运资本</t>
  </si>
  <si>
    <t>经营性长期资产：</t>
  </si>
  <si>
    <t>经营性长期资产合计</t>
  </si>
  <si>
    <t>经营性长期负债：</t>
  </si>
  <si>
    <t>股东权益：</t>
  </si>
  <si>
    <t>长期应付款（经营）</t>
  </si>
  <si>
    <t>股本</t>
  </si>
  <si>
    <t xml:space="preserve">  减：库存股</t>
  </si>
  <si>
    <t>经营性长期负债合计</t>
  </si>
  <si>
    <t>净经营性长期资产</t>
  </si>
  <si>
    <t>股东权益合计</t>
  </si>
  <si>
    <t>净经营资产总计</t>
  </si>
  <si>
    <t>净负债及股东权益总计</t>
  </si>
  <si>
    <t>管 理 用 利 润 表</t>
  </si>
  <si>
    <t>年 月 日</t>
  </si>
  <si>
    <t>经营损益：</t>
  </si>
  <si>
    <t xml:space="preserve">  一、营业收入</t>
  </si>
  <si>
    <t xml:space="preserve">      减：营业成本</t>
  </si>
  <si>
    <t xml:space="preserve">  二、毛利</t>
  </si>
  <si>
    <t xml:space="preserve">      减：营业税金及附加</t>
  </si>
  <si>
    <t xml:space="preserve">          销售费用</t>
  </si>
  <si>
    <t xml:space="preserve">          管理费用</t>
  </si>
  <si>
    <t xml:space="preserve">          财务费用（经营）</t>
  </si>
  <si>
    <t xml:space="preserve">          资产减值损失（经营）</t>
  </si>
  <si>
    <t xml:space="preserve">      加：公允价值变动收益（经营）</t>
  </si>
  <si>
    <t xml:space="preserve">          投资收益（经营）</t>
  </si>
  <si>
    <t xml:space="preserve">  三、税前营业利润</t>
  </si>
  <si>
    <t xml:space="preserve">      加：营业外收入</t>
  </si>
  <si>
    <t xml:space="preserve">      减：营业外支出</t>
  </si>
  <si>
    <t xml:space="preserve">  四、税前经营利润</t>
  </si>
  <si>
    <t xml:space="preserve">      减：经营利润所得税</t>
  </si>
  <si>
    <t xml:space="preserve">  五、税后经营净利润</t>
  </si>
  <si>
    <t>金融损益：</t>
  </si>
  <si>
    <t xml:space="preserve">  六、利息费用（金融）</t>
  </si>
  <si>
    <t xml:space="preserve">      减：利息费用抵税</t>
  </si>
  <si>
    <t xml:space="preserve">  七、税后利息费用</t>
  </si>
  <si>
    <t xml:space="preserve">  八、净利润</t>
  </si>
  <si>
    <t>附注：平均所得税税率</t>
  </si>
  <si>
    <t>管 理 用 现 金 流 量 表</t>
  </si>
  <si>
    <t>经营活动现金流量：</t>
  </si>
  <si>
    <t>　　　</t>
  </si>
  <si>
    <t xml:space="preserve">        税后经营净利润</t>
  </si>
  <si>
    <t>　　       加：折旧与摊销</t>
  </si>
  <si>
    <t xml:space="preserve">          =营业现金毛流量</t>
  </si>
  <si>
    <t>减：经营营运资本增加</t>
  </si>
  <si>
    <t xml:space="preserve">          =营业现金净流量</t>
  </si>
  <si>
    <t>　　减：净经营性长期资产增加</t>
  </si>
  <si>
    <t xml:space="preserve">              折旧与摊销</t>
  </si>
  <si>
    <t xml:space="preserve">          =实体现金流量</t>
  </si>
  <si>
    <t>金融活动现金流量：</t>
  </si>
  <si>
    <t xml:space="preserve">        税后利息费用</t>
  </si>
  <si>
    <t xml:space="preserve">          减：净负债增加</t>
  </si>
  <si>
    <t>　　      =债务现金流量</t>
  </si>
  <si>
    <t>　　     股利分配</t>
  </si>
  <si>
    <t>　　       减：股权资本净增加</t>
  </si>
  <si>
    <t>　     　 =股权现金流量</t>
  </si>
  <si>
    <t xml:space="preserve">          融资现金流量</t>
  </si>
  <si>
    <t>备注：此行是本表校验行</t>
  </si>
  <si>
    <t>管 理 比 率 分 析</t>
  </si>
  <si>
    <t>1、税后经营净利率</t>
  </si>
  <si>
    <t>税后经营净利润÷销售收入</t>
  </si>
  <si>
    <t>2、净经营资产周转次数</t>
  </si>
  <si>
    <t>销售收入÷净经营资产</t>
  </si>
  <si>
    <t>3、净经营资产净利率</t>
  </si>
  <si>
    <t>税后经营净利润÷净经营资产</t>
  </si>
  <si>
    <t>4、税后利息率</t>
  </si>
  <si>
    <t>税后利息费用÷净负债</t>
  </si>
  <si>
    <t>5、经营差异率</t>
  </si>
  <si>
    <t>净经营资产净利率－税后利息率</t>
  </si>
  <si>
    <t>6、净财务杠杆</t>
  </si>
  <si>
    <t>净负债÷股东权益</t>
  </si>
  <si>
    <t>7、杠杆贡献率</t>
  </si>
  <si>
    <t>经营差异率×净财务杠杆</t>
  </si>
  <si>
    <t>8、权益净利率</t>
  </si>
  <si>
    <t>净经营资产净利率＋杠杆贡献率</t>
  </si>
  <si>
    <t>管 理 用 预 测 资 产 负 债 表</t>
  </si>
  <si>
    <t>年   月    日</t>
  </si>
  <si>
    <t>基 期 数</t>
  </si>
  <si>
    <t>预 测 数</t>
  </si>
  <si>
    <t>基期销售收入</t>
  </si>
  <si>
    <t>预测销售收入</t>
  </si>
  <si>
    <t>预测与基期比</t>
  </si>
  <si>
    <t>融资总需求</t>
  </si>
  <si>
    <t>可动用的金融资产</t>
  </si>
  <si>
    <t>计划销售净利率</t>
  </si>
  <si>
    <t>预计增加的留存收益</t>
  </si>
  <si>
    <t>外部融资额</t>
  </si>
  <si>
    <t>外部融资销售增长比</t>
  </si>
  <si>
    <t>管 理 用 预 测 利 润 表</t>
  </si>
  <si>
    <t>年   月</t>
  </si>
  <si>
    <t>行 业 绩 效 评 价 标 准 均 值</t>
  </si>
  <si>
    <t>公        式</t>
  </si>
  <si>
    <t>实际</t>
  </si>
  <si>
    <t>国内全行业</t>
  </si>
  <si>
    <t>工业</t>
  </si>
  <si>
    <t>建筑</t>
  </si>
  <si>
    <t>交通运输仓储邮政</t>
  </si>
  <si>
    <t>信息技术服务</t>
  </si>
  <si>
    <t>批发零售贸易</t>
  </si>
  <si>
    <t>住宿餐饮</t>
  </si>
  <si>
    <t>社会服务</t>
  </si>
  <si>
    <t>传播文化</t>
  </si>
  <si>
    <t>农林牧渔</t>
  </si>
  <si>
    <t>大型</t>
  </si>
  <si>
    <t>中型</t>
  </si>
  <si>
    <t>小型</t>
  </si>
  <si>
    <t>平均</t>
  </si>
  <si>
    <t>一、盈利能力状况</t>
  </si>
  <si>
    <t xml:space="preserve">    净资产收益率(%)</t>
  </si>
  <si>
    <r>
      <rPr>
        <sz val="10"/>
        <rFont val="微软雅黑"/>
        <charset val="134"/>
      </rPr>
      <t>(归属于母公司所有者的净利润</t>
    </r>
    <r>
      <rPr>
        <sz val="10"/>
        <rFont val="微软雅黑"/>
        <charset val="134"/>
      </rPr>
      <t>÷平均净资产)×100%</t>
    </r>
  </si>
  <si>
    <t xml:space="preserve">    总资产报酬率(%)</t>
  </si>
  <si>
    <r>
      <rPr>
        <sz val="10"/>
        <rFont val="微软雅黑"/>
        <charset val="134"/>
      </rPr>
      <t>[(利润总额</t>
    </r>
    <r>
      <rPr>
        <sz val="10"/>
        <rFont val="微软雅黑"/>
        <charset val="134"/>
      </rPr>
      <t>＋利息支出)÷平均资产总额]×100%</t>
    </r>
  </si>
  <si>
    <t xml:space="preserve">    主营业务利润率(%)</t>
  </si>
  <si>
    <r>
      <rPr>
        <sz val="10"/>
        <rFont val="微软雅黑"/>
        <charset val="134"/>
      </rPr>
      <t>(主营业务利润</t>
    </r>
    <r>
      <rPr>
        <sz val="10"/>
        <rFont val="微软雅黑"/>
        <charset val="134"/>
      </rPr>
      <t>÷主营业务收入)×100%</t>
    </r>
  </si>
  <si>
    <t xml:space="preserve">    盈余现金保障倍数</t>
  </si>
  <si>
    <r>
      <rPr>
        <sz val="10"/>
        <rFont val="微软雅黑"/>
        <charset val="134"/>
      </rPr>
      <t>经营现金净流量</t>
    </r>
    <r>
      <rPr>
        <sz val="10"/>
        <rFont val="微软雅黑"/>
        <charset val="134"/>
      </rPr>
      <t>÷净利润</t>
    </r>
  </si>
  <si>
    <t xml:space="preserve">    成本费用利润率(%)</t>
  </si>
  <si>
    <r>
      <rPr>
        <sz val="10"/>
        <rFont val="微软雅黑"/>
        <charset val="134"/>
      </rPr>
      <t>(利润总额</t>
    </r>
    <r>
      <rPr>
        <sz val="10"/>
        <rFont val="微软雅黑"/>
        <charset val="134"/>
      </rPr>
      <t>÷成本费用总额)×100%</t>
    </r>
  </si>
  <si>
    <t xml:space="preserve">    资本收益率(%)</t>
  </si>
  <si>
    <r>
      <rPr>
        <sz val="10"/>
        <rFont val="微软雅黑"/>
        <charset val="134"/>
      </rPr>
      <t>(归属于母公司所有者净利润</t>
    </r>
    <r>
      <rPr>
        <sz val="10"/>
        <rFont val="微软雅黑"/>
        <charset val="134"/>
      </rPr>
      <t>÷平均资本)×100%</t>
    </r>
  </si>
  <si>
    <t>二、资产质量状况</t>
  </si>
  <si>
    <t xml:space="preserve">    总资产周转率(次)</t>
  </si>
  <si>
    <r>
      <rPr>
        <sz val="10"/>
        <rFont val="微软雅黑"/>
        <charset val="134"/>
      </rPr>
      <t>主营业务收入</t>
    </r>
    <r>
      <rPr>
        <sz val="10"/>
        <rFont val="微软雅黑"/>
        <charset val="134"/>
      </rPr>
      <t>÷平均资产总额</t>
    </r>
  </si>
  <si>
    <t xml:space="preserve">    应收账款周转率(次)</t>
  </si>
  <si>
    <r>
      <rPr>
        <sz val="10"/>
        <rFont val="微软雅黑"/>
        <charset val="134"/>
      </rPr>
      <t>主营业务收入</t>
    </r>
    <r>
      <rPr>
        <sz val="10"/>
        <rFont val="微软雅黑"/>
        <charset val="134"/>
      </rPr>
      <t>÷应收账款平均余额</t>
    </r>
  </si>
  <si>
    <t xml:space="preserve">    不良资产比率(%)</t>
  </si>
  <si>
    <r>
      <rPr>
        <sz val="10"/>
        <rFont val="微软雅黑"/>
        <charset val="134"/>
      </rPr>
      <t>[年末不良资产总额</t>
    </r>
    <r>
      <rPr>
        <sz val="10"/>
        <rFont val="微软雅黑"/>
        <charset val="134"/>
      </rPr>
      <t>÷(资产总额＋资产减值准备余额)]×100%</t>
    </r>
  </si>
  <si>
    <t xml:space="preserve">    流动资产周转率(次)</t>
  </si>
  <si>
    <r>
      <rPr>
        <sz val="10"/>
        <rFont val="微软雅黑"/>
        <charset val="134"/>
      </rPr>
      <t>主营业务收入</t>
    </r>
    <r>
      <rPr>
        <sz val="10"/>
        <rFont val="微软雅黑"/>
        <charset val="134"/>
      </rPr>
      <t>÷平均流动资产总额</t>
    </r>
  </si>
  <si>
    <t xml:space="preserve">    资产现金回收率(%)</t>
  </si>
  <si>
    <t>(经营现金净流量÷平均资产总额)×100%</t>
  </si>
  <si>
    <t>三、债务风险状况</t>
  </si>
  <si>
    <t xml:space="preserve">    资产负债率(%)</t>
  </si>
  <si>
    <r>
      <rPr>
        <sz val="10"/>
        <rFont val="微软雅黑"/>
        <charset val="134"/>
      </rPr>
      <t>(负债总额</t>
    </r>
    <r>
      <rPr>
        <sz val="10"/>
        <rFont val="微软雅黑"/>
        <charset val="134"/>
      </rPr>
      <t>÷资产总额)×100%</t>
    </r>
  </si>
  <si>
    <t xml:space="preserve">    已获利息倍数</t>
  </si>
  <si>
    <r>
      <rPr>
        <sz val="10"/>
        <rFont val="微软雅黑"/>
        <charset val="134"/>
      </rPr>
      <t>(利润总额</t>
    </r>
    <r>
      <rPr>
        <sz val="10"/>
        <rFont val="微软雅黑"/>
        <charset val="134"/>
      </rPr>
      <t>＋利息支出)÷利息支出</t>
    </r>
  </si>
  <si>
    <t xml:space="preserve">    速动比率(%)</t>
  </si>
  <si>
    <r>
      <rPr>
        <sz val="10"/>
        <rFont val="微软雅黑"/>
        <charset val="134"/>
      </rPr>
      <t>(速动资产</t>
    </r>
    <r>
      <rPr>
        <sz val="10"/>
        <rFont val="微软雅黑"/>
        <charset val="134"/>
      </rPr>
      <t>÷流动负债</t>
    </r>
    <r>
      <rPr>
        <sz val="10"/>
        <rFont val="微软雅黑"/>
        <charset val="134"/>
      </rPr>
      <t>)×100%</t>
    </r>
  </si>
  <si>
    <t xml:space="preserve">    现金流动负债比率(%)</t>
  </si>
  <si>
    <r>
      <rPr>
        <sz val="10"/>
        <rFont val="微软雅黑"/>
        <charset val="134"/>
      </rPr>
      <t>(经营现金净流量</t>
    </r>
    <r>
      <rPr>
        <sz val="10"/>
        <rFont val="微软雅黑"/>
        <charset val="134"/>
      </rPr>
      <t>÷流动负债)×100%</t>
    </r>
  </si>
  <si>
    <t xml:space="preserve">    带息负债比率(%)</t>
  </si>
  <si>
    <r>
      <rPr>
        <sz val="10"/>
        <rFont val="微软雅黑"/>
        <charset val="134"/>
      </rPr>
      <t>[(短期借款</t>
    </r>
    <r>
      <rPr>
        <sz val="10"/>
        <rFont val="微软雅黑"/>
        <charset val="134"/>
      </rPr>
      <t>＋一年内到期的非流动负债＋长期借款＋应付债券＋应付利息)÷负债总额]×100%</t>
    </r>
  </si>
  <si>
    <t xml:space="preserve">    或有负债比率(%)</t>
  </si>
  <si>
    <r>
      <rPr>
        <sz val="10"/>
        <rFont val="微软雅黑"/>
        <charset val="134"/>
      </rPr>
      <t>(或有负债余额</t>
    </r>
    <r>
      <rPr>
        <sz val="10"/>
        <rFont val="微软雅黑"/>
        <charset val="134"/>
      </rPr>
      <t>÷所有者权益)×100%</t>
    </r>
  </si>
  <si>
    <t>四、经营增长状况</t>
  </si>
  <si>
    <t xml:space="preserve">    销售(营业)增长率(%)</t>
  </si>
  <si>
    <r>
      <rPr>
        <sz val="10"/>
        <rFont val="微软雅黑"/>
        <charset val="134"/>
      </rPr>
      <t>(本年主营业务收入增长额</t>
    </r>
    <r>
      <rPr>
        <sz val="10"/>
        <rFont val="微软雅黑"/>
        <charset val="134"/>
      </rPr>
      <t>÷上年主营业务收入)×100%</t>
    </r>
  </si>
  <si>
    <t xml:space="preserve">    资本保值增值率(%)</t>
  </si>
  <si>
    <r>
      <rPr>
        <sz val="10"/>
        <rFont val="微软雅黑"/>
        <charset val="134"/>
      </rPr>
      <t>(扣除客观因素后的年末所有者权益</t>
    </r>
    <r>
      <rPr>
        <sz val="10"/>
        <rFont val="微软雅黑"/>
        <charset val="134"/>
      </rPr>
      <t>÷年初所有者权益)×100%</t>
    </r>
  </si>
  <si>
    <t xml:space="preserve">    销售(营业)利润增长率(%)</t>
  </si>
  <si>
    <r>
      <rPr>
        <sz val="10"/>
        <rFont val="微软雅黑"/>
        <charset val="134"/>
      </rPr>
      <t>(本年主营业务利润增长额</t>
    </r>
    <r>
      <rPr>
        <sz val="10"/>
        <rFont val="微软雅黑"/>
        <charset val="134"/>
      </rPr>
      <t>÷上年主营业务利润)×100%</t>
    </r>
  </si>
  <si>
    <t xml:space="preserve">    总资产增长率(%)</t>
  </si>
  <si>
    <r>
      <rPr>
        <sz val="10"/>
        <rFont val="微软雅黑"/>
        <charset val="134"/>
      </rPr>
      <t>[(年末资产总额</t>
    </r>
    <r>
      <rPr>
        <sz val="10"/>
        <rFont val="微软雅黑"/>
        <charset val="134"/>
      </rPr>
      <t>－年初资产总额)÷年初资产总额]×100%</t>
    </r>
  </si>
  <si>
    <t xml:space="preserve">    技术投入比率(%)</t>
  </si>
  <si>
    <r>
      <rPr>
        <sz val="10"/>
        <rFont val="微软雅黑"/>
        <charset val="134"/>
      </rPr>
      <t>(本年科技支出合计</t>
    </r>
    <r>
      <rPr>
        <sz val="10"/>
        <rFont val="微软雅黑"/>
        <charset val="134"/>
      </rPr>
      <t>÷主营业务收入)×100%</t>
    </r>
  </si>
  <si>
    <t>五、补充资料</t>
  </si>
  <si>
    <t xml:space="preserve">    存货周转率(次)</t>
  </si>
  <si>
    <r>
      <rPr>
        <sz val="10"/>
        <rFont val="微软雅黑"/>
        <charset val="134"/>
      </rPr>
      <t>主营业务成本</t>
    </r>
    <r>
      <rPr>
        <sz val="10"/>
        <rFont val="微软雅黑"/>
        <charset val="134"/>
      </rPr>
      <t>÷存货平均余额</t>
    </r>
  </si>
  <si>
    <t xml:space="preserve">    三年销售平均增长率(%)</t>
  </si>
  <si>
    <r>
      <rPr>
        <sz val="10"/>
        <rFont val="微软雅黑"/>
        <charset val="134"/>
      </rPr>
      <t>[(当年主营业务收入</t>
    </r>
    <r>
      <rPr>
        <sz val="10"/>
        <rFont val="微软雅黑"/>
        <charset val="134"/>
      </rPr>
      <t>÷三年前主营业务收入)开3次方－1]×100%</t>
    </r>
  </si>
  <si>
    <t xml:space="preserve">    成本费用占主营收入比(%)</t>
  </si>
  <si>
    <t>(成本费用总额÷主营业务收入)×100%</t>
  </si>
  <si>
    <t xml:space="preserve">    经济增加值率(%)</t>
  </si>
  <si>
    <t>(经济增加值÷调整后资本)×100%</t>
  </si>
  <si>
    <t xml:space="preserve">    EBITDA率(%)</t>
  </si>
  <si>
    <t>(净利润+所得税+利息支出+固定资产折旧+无形资产摊销)/主营业务收入×100%</t>
  </si>
  <si>
    <t xml:space="preserve">    资本积累率(%)</t>
  </si>
  <si>
    <r>
      <rPr>
        <sz val="10"/>
        <rFont val="微软雅黑"/>
        <charset val="134"/>
      </rPr>
      <t>(年末所有者权益-年初所有者权益）</t>
    </r>
    <r>
      <rPr>
        <sz val="10"/>
        <rFont val="微软雅黑"/>
        <charset val="134"/>
      </rPr>
      <t>÷年初所有者权益×100%</t>
    </r>
  </si>
  <si>
    <t>新增流动资金贷款额度测算表</t>
  </si>
  <si>
    <t>银行报表基本提示要求</t>
  </si>
  <si>
    <t>年   月   日</t>
  </si>
  <si>
    <t>科  目</t>
  </si>
  <si>
    <t>平均余额</t>
  </si>
  <si>
    <t>周转次数</t>
  </si>
  <si>
    <t>周转天数</t>
  </si>
  <si>
    <t xml:space="preserve"> 存货</t>
  </si>
  <si>
    <t xml:space="preserve">1、净资产与年未贷款余额比率：必须大于100%（房地产企业可大于80%）。 </t>
  </si>
  <si>
    <t xml:space="preserve">2、资产负债率：必须小于70%，最好低于55%。 </t>
  </si>
  <si>
    <t xml:space="preserve">二、偿债能力： </t>
  </si>
  <si>
    <t xml:space="preserve">3、流动比率：一般情况下，该指标越大，表明企业短期偿债能力越强，通常在150%~200%较好。 </t>
  </si>
  <si>
    <t xml:space="preserve">4、速动比率：越大，短期偿债能力越强，通常在100%左右较好，对中小企业可适当放宽，也应大于80%。 </t>
  </si>
  <si>
    <t>—</t>
  </si>
  <si>
    <t xml:space="preserve">5、担保比例：企业应该把有损失的风险下降到最低点。一般讲，比例小于0.5为好。 </t>
  </si>
  <si>
    <t>三、现金流量：</t>
  </si>
  <si>
    <t>营运资金周转次数（次）=</t>
  </si>
  <si>
    <t xml:space="preserve">6、企业经营活动产生的净现金流应为正值，其销售收入现金回笼应在85～95%以上。 </t>
  </si>
  <si>
    <t>营运资金周转天数（天）=</t>
  </si>
  <si>
    <t xml:space="preserve">7、企业在经营活动中支付采购商品，劳务的现金支付率应在85～95%以上。 </t>
  </si>
  <si>
    <t>上年度销售收入</t>
  </si>
  <si>
    <t>上年度销售利润率</t>
  </si>
  <si>
    <t>预计销售收入年增长率</t>
  </si>
  <si>
    <t>营运资金周转次数</t>
  </si>
  <si>
    <t xml:space="preserve">四、经营能力： </t>
  </si>
  <si>
    <t>8、主营业务收入增长率：一般讲，不小于8%，其主业正处于成长期；低于-5%，其产品将进入生命末期了。</t>
  </si>
  <si>
    <t>9、应收账款周转速度。一般企业应大于六次。</t>
  </si>
  <si>
    <t>营运资金需求量=</t>
  </si>
  <si>
    <t>10、存贷周转率：一般中小企业应大于5次。存货周转速度越快，存货占用水平越低，流动性越强。</t>
  </si>
  <si>
    <t xml:space="preserve">五、经营效益： 
</t>
  </si>
  <si>
    <t>新增流动资金贷款额度=</t>
  </si>
  <si>
    <t xml:space="preserve">11、营业净利率：一般来讲，该指标应大于8%，当然指标值越大，表明企业综合获利能力越强。 </t>
  </si>
  <si>
    <t>营运资金需求量</t>
  </si>
  <si>
    <t>自有资金</t>
  </si>
  <si>
    <t>现有流动资金贷款</t>
  </si>
  <si>
    <t>其他渠道融资的营运资金</t>
  </si>
  <si>
    <t>12、净资产收益率：目前对中小企业来讲应大于 5%。</t>
  </si>
  <si>
    <t>如何做好财务管理</t>
  </si>
  <si>
    <t xml:space="preserve">1、招聘具有职业道德及具有较强经验的财务负责人，并相信之融入到具体的业务管理及业务决策中来推行各项内控管理制度。2、多看财务报表，凡事多寻找数据支撑，也不能忽略表外因素影响。3、少做点违法的事情，税可以打点擦边球，但不能以此为企业的利润来源，否则代价是难以估量的。4、多与财务负责人拜见银行等机构，老板的话可比财务总监的值钱得多。5、企业做大了，要学学绩效管理，了解财务全面预算，开始接触一下投资机构，为企业的未来发展拓展必要的视野。
</t>
  </si>
  <si>
    <t>结论：根据企业测算结果及目前需支付款项,可确定其流动资金贷款额度为     万元。</t>
  </si>
  <si>
    <t>特殊处理：</t>
  </si>
  <si>
    <t>1、对于经营时间不足一年或有充足证据证明按上述方法测算不符合生产经营特点的，可按分项详细估算法、扩大指标法或其他合理方法测算其营运资金需求。</t>
  </si>
  <si>
    <t>2、其他应收款/其他应付款金额较大的，其合理部分应计入增加/减少营运资金占用。</t>
  </si>
  <si>
    <t>3、对于季节性生产借款人，可按每年的连续生产时段作为计算周期估算营运资金需求（此时贷款期限应根据回款周期合理确定）。</t>
  </si>
  <si>
    <t>投 资 决 策 模 型</t>
  </si>
  <si>
    <t>资金成本率</t>
  </si>
  <si>
    <t>再投资收益率</t>
  </si>
  <si>
    <t>备选方案</t>
  </si>
  <si>
    <t>A方案</t>
  </si>
  <si>
    <t>B方案</t>
  </si>
  <si>
    <t>C方案</t>
  </si>
  <si>
    <t>D方案</t>
  </si>
  <si>
    <t>初期投资</t>
  </si>
  <si>
    <t>第一年获利</t>
  </si>
  <si>
    <t>第二年获利</t>
  </si>
  <si>
    <t>第三年获利</t>
  </si>
  <si>
    <t>第四年获利</t>
  </si>
  <si>
    <t>第五年获利</t>
  </si>
  <si>
    <t>第六年获利</t>
  </si>
  <si>
    <t>第七年获利</t>
  </si>
  <si>
    <t>第八年获利</t>
  </si>
  <si>
    <t>第九年获利</t>
  </si>
  <si>
    <t>第十年获利</t>
  </si>
  <si>
    <t>静态回收期</t>
  </si>
  <si>
    <t>NPV</t>
  </si>
  <si>
    <t>IRR</t>
  </si>
  <si>
    <t>投资利润率</t>
  </si>
  <si>
    <t>MIRR</t>
  </si>
  <si>
    <t>评估结果：</t>
  </si>
  <si>
    <t>不同的评估法得出不同的投资定位，因此应该先判断采用何种决策方法。</t>
  </si>
  <si>
    <t>优秀决策方法的特点：</t>
  </si>
  <si>
    <t>1、考虑到货币的时间价值。</t>
  </si>
  <si>
    <t>2、考虑到投资计划期间内的所有现金流量。</t>
  </si>
  <si>
    <t>3、需显示财富的增加（利润率法及IRR不满足）。</t>
  </si>
  <si>
    <t>4、客观并且容易判断（回收期法）。</t>
  </si>
  <si>
    <t>固 定 资 产 更 新 决 策 模 型</t>
  </si>
  <si>
    <t>年  月    日</t>
  </si>
  <si>
    <t>固 定 资 产 更 新 资 料</t>
  </si>
  <si>
    <t>项  目</t>
  </si>
  <si>
    <t>旧 设 备</t>
  </si>
  <si>
    <t>新 设 备</t>
  </si>
  <si>
    <t>原值</t>
  </si>
  <si>
    <t>预计使用年限</t>
  </si>
  <si>
    <t>已使用年限</t>
  </si>
  <si>
    <t>尚可使用年限</t>
  </si>
  <si>
    <t>年销售收入</t>
  </si>
  <si>
    <t>年付现成本</t>
  </si>
  <si>
    <t>预计净残值</t>
  </si>
  <si>
    <t>可变现收入</t>
  </si>
  <si>
    <t>折旧方法</t>
  </si>
  <si>
    <t>直线法</t>
  </si>
  <si>
    <t>年数总和法</t>
  </si>
  <si>
    <t>更新净现值差</t>
  </si>
  <si>
    <t>初始投资</t>
  </si>
  <si>
    <t>残值</t>
  </si>
  <si>
    <t>净现值</t>
  </si>
  <si>
    <t>旧 设 备 现 金 流 量 表</t>
  </si>
  <si>
    <t>旧设备尚可使用年限</t>
  </si>
  <si>
    <t>年折旧额</t>
  </si>
  <si>
    <t>税前净利</t>
  </si>
  <si>
    <t>税后净利</t>
  </si>
  <si>
    <t>营业净现金流量</t>
  </si>
  <si>
    <t>终结点净现金流量</t>
  </si>
  <si>
    <t>现金流量</t>
  </si>
  <si>
    <t>新 设 备 现 金 流 量 表</t>
  </si>
  <si>
    <t>新设备使用年限</t>
  </si>
  <si>
    <t>备注：若更改上表中新旧设备相应折旧方法，则其对应年折旧额函数公式须作相应修改。</t>
  </si>
  <si>
    <t>双倍余额递减法公式</t>
  </si>
  <si>
    <t>财  务  计  划  模  型</t>
  </si>
  <si>
    <t>基年财务报表</t>
  </si>
  <si>
    <t>假设条件和财务政策</t>
  </si>
  <si>
    <t>预计财务报表</t>
  </si>
  <si>
    <t>预计利润表</t>
  </si>
  <si>
    <t>年  月</t>
  </si>
  <si>
    <t>金  额</t>
  </si>
  <si>
    <t>基年参考</t>
  </si>
  <si>
    <t>预计修正</t>
  </si>
  <si>
    <t>比  率</t>
  </si>
  <si>
    <t>销售成本占销售收入的比例</t>
  </si>
  <si>
    <t>销售和管理费用</t>
  </si>
  <si>
    <t>销售和管理费用占销售收入的比例</t>
  </si>
  <si>
    <t>息税前利润</t>
  </si>
  <si>
    <t>利率</t>
  </si>
  <si>
    <t>利息</t>
  </si>
  <si>
    <t>所得税率</t>
  </si>
  <si>
    <t>税前利润</t>
  </si>
  <si>
    <t>流动资产占销售收入的比例</t>
  </si>
  <si>
    <t>应付账款占销售收入的比例</t>
  </si>
  <si>
    <t>固定资产投资占销售收入的比例</t>
  </si>
  <si>
    <t>无形资产投资占销售收入的比例</t>
  </si>
  <si>
    <t>预计资产负债表</t>
  </si>
  <si>
    <t>留存收益占所有者权益比例</t>
  </si>
  <si>
    <t>股利占净收益的比例</t>
  </si>
  <si>
    <t>项目</t>
  </si>
  <si>
    <t>外部资金需要量</t>
  </si>
  <si>
    <t>借款占总资产比率</t>
  </si>
  <si>
    <t>长期负债</t>
  </si>
  <si>
    <t>负债及所有者权益总计</t>
  </si>
  <si>
    <t>存 货 管 理 模 型</t>
  </si>
  <si>
    <t>模 型 项 目</t>
  </si>
  <si>
    <t>模 型 数 据</t>
  </si>
  <si>
    <t>年需求量</t>
  </si>
  <si>
    <t>已知参数</t>
  </si>
  <si>
    <t>一次订货的订货成本</t>
  </si>
  <si>
    <t>年单位储存成本</t>
  </si>
  <si>
    <t>实际订货量</t>
  </si>
  <si>
    <t>输入实际订货量</t>
  </si>
  <si>
    <t>年订货成本</t>
  </si>
  <si>
    <t>实际订货成本</t>
  </si>
  <si>
    <t>年储存成本</t>
  </si>
  <si>
    <t>年总成本</t>
  </si>
  <si>
    <r>
      <rPr>
        <sz val="10"/>
        <rFont val="微软雅黑"/>
        <charset val="134"/>
      </rPr>
      <t>经济订货量 (</t>
    </r>
    <r>
      <rPr>
        <sz val="10"/>
        <rFont val="微软雅黑"/>
        <charset val="134"/>
      </rPr>
      <t>EOQ)</t>
    </r>
  </si>
  <si>
    <r>
      <rPr>
        <sz val="10"/>
        <rFont val="微软雅黑"/>
        <charset val="134"/>
      </rPr>
      <t>EOQ</t>
    </r>
    <r>
      <rPr>
        <sz val="10"/>
        <rFont val="微软雅黑"/>
        <charset val="134"/>
      </rPr>
      <t>模型及模型下的相关成本</t>
    </r>
  </si>
  <si>
    <r>
      <rPr>
        <sz val="10"/>
        <rFont val="微软雅黑"/>
        <charset val="134"/>
      </rPr>
      <t>EOQ</t>
    </r>
    <r>
      <rPr>
        <sz val="10"/>
        <rFont val="微软雅黑"/>
        <charset val="134"/>
      </rPr>
      <t>下的年订货成本</t>
    </r>
  </si>
  <si>
    <r>
      <rPr>
        <sz val="10"/>
        <rFont val="微软雅黑"/>
        <charset val="134"/>
      </rPr>
      <t>EOQ</t>
    </r>
    <r>
      <rPr>
        <sz val="10"/>
        <rFont val="微软雅黑"/>
        <charset val="134"/>
      </rPr>
      <t>下的年储存成本</t>
    </r>
  </si>
  <si>
    <r>
      <rPr>
        <sz val="10"/>
        <rFont val="微软雅黑"/>
        <charset val="134"/>
      </rPr>
      <t>EOQ</t>
    </r>
    <r>
      <rPr>
        <sz val="10"/>
        <rFont val="微软雅黑"/>
        <charset val="134"/>
      </rPr>
      <t>下的年总成本</t>
    </r>
  </si>
  <si>
    <t>订货量测算</t>
  </si>
  <si>
    <t>经济订货</t>
  </si>
  <si>
    <t>实际订货</t>
  </si>
  <si>
    <t>模型测算</t>
  </si>
  <si>
    <t>租 赁 筹 资 基 本 模 型</t>
  </si>
  <si>
    <t>模 型 核 算</t>
  </si>
  <si>
    <t>备    注</t>
  </si>
  <si>
    <t>租赁项目名称</t>
  </si>
  <si>
    <t>支付方式</t>
  </si>
  <si>
    <t>预  付</t>
  </si>
  <si>
    <t>后  付</t>
  </si>
  <si>
    <t>租金（元）</t>
  </si>
  <si>
    <t>每年支付次数（次）</t>
  </si>
  <si>
    <t>租期（年）　</t>
  </si>
  <si>
    <t>总付款次数（次）</t>
  </si>
  <si>
    <t>租赁年利率（%）</t>
  </si>
  <si>
    <t>每次等额应付租金（元）</t>
  </si>
  <si>
    <t>按揭商品款</t>
  </si>
  <si>
    <t>首付</t>
  </si>
  <si>
    <t>商业贷款</t>
  </si>
  <si>
    <t>贷款年限</t>
  </si>
  <si>
    <t>年利率</t>
  </si>
  <si>
    <t>当前期数</t>
  </si>
  <si>
    <t>等本还款</t>
  </si>
  <si>
    <t>还款方式</t>
  </si>
  <si>
    <t>等额还款</t>
  </si>
  <si>
    <t>还款本金</t>
  </si>
  <si>
    <t>还款利息</t>
  </si>
  <si>
    <t>还款总额</t>
  </si>
  <si>
    <t>贷款余额</t>
  </si>
  <si>
    <t>还  款  表</t>
  </si>
  <si>
    <t>等 本 还 款</t>
  </si>
  <si>
    <t>等 额 还 款</t>
  </si>
  <si>
    <t>期数</t>
  </si>
  <si>
    <t>总计</t>
  </si>
  <si>
    <t>利 润 敏 感 性 分 析 模 型</t>
  </si>
  <si>
    <t>实 际 值</t>
  </si>
  <si>
    <t>变 化 后</t>
  </si>
  <si>
    <t>变 化 率</t>
  </si>
  <si>
    <t>销售量（件）</t>
  </si>
  <si>
    <t>单价（元/件）</t>
  </si>
  <si>
    <t>变动成本（元/件）</t>
  </si>
  <si>
    <t>固定成本（元）</t>
  </si>
  <si>
    <t>利润（元）</t>
  </si>
  <si>
    <t>利  润</t>
  </si>
  <si>
    <t>利润变化量</t>
  </si>
  <si>
    <t>利润变化率</t>
  </si>
  <si>
    <t>控 制 条</t>
  </si>
  <si>
    <t>销售量Q（件）</t>
  </si>
  <si>
    <t>单价P（元/件）</t>
  </si>
  <si>
    <t>变动成本PVC（元/件）</t>
  </si>
  <si>
    <t>固定成本F（元）</t>
  </si>
  <si>
    <t>利润N（元）</t>
  </si>
  <si>
    <t>企 业 安 全 率 模 型</t>
  </si>
  <si>
    <t>单 位</t>
  </si>
  <si>
    <t>解 释 或 公 式</t>
  </si>
  <si>
    <t>数    值</t>
  </si>
  <si>
    <t>单位销售价格</t>
  </si>
  <si>
    <t>元/件</t>
  </si>
  <si>
    <t>可选实际或均值</t>
  </si>
  <si>
    <t>单位变动成本</t>
  </si>
  <si>
    <t>单位边际利润</t>
  </si>
  <si>
    <t>单位销售价格－单位变动成本</t>
  </si>
  <si>
    <t>固定成本</t>
  </si>
  <si>
    <t>元</t>
  </si>
  <si>
    <t>一定范围内保持不变</t>
  </si>
  <si>
    <t>保本点销售量</t>
  </si>
  <si>
    <t>件</t>
  </si>
  <si>
    <t>固定成本÷单位边际利润</t>
  </si>
  <si>
    <t>保本点销售收入</t>
  </si>
  <si>
    <t>单位销售价格×保本点销售量</t>
  </si>
  <si>
    <t>保本点变动成本总额</t>
  </si>
  <si>
    <t>单位变动成本×保本点销售量</t>
  </si>
  <si>
    <t>保本点边际贡献</t>
  </si>
  <si>
    <t>保本点销售收入－保本点变动成本</t>
  </si>
  <si>
    <t>实际或预计销售量</t>
  </si>
  <si>
    <t>实际或预计销售收入</t>
  </si>
  <si>
    <t>单位销售价格×实际或预计销售量</t>
  </si>
  <si>
    <t>经营安全率（按产量）</t>
  </si>
  <si>
    <t>(实际或预计销售量－保本点销售量)÷实际或预计销售量</t>
  </si>
  <si>
    <t>经营安全率（按收入）</t>
  </si>
  <si>
    <t>(实际或预计销售收入－保本点销售收入)÷实际或预计销售收入</t>
  </si>
  <si>
    <t>经营安全效果评价</t>
  </si>
  <si>
    <t>根据经营安全率评价经营安全效果</t>
  </si>
  <si>
    <t>期末资产总额</t>
  </si>
  <si>
    <t>资产变现金额</t>
  </si>
  <si>
    <t>期末资产可变现金额</t>
  </si>
  <si>
    <t>期末负债总额</t>
  </si>
  <si>
    <t>资产变现率</t>
  </si>
  <si>
    <t>资产变现金额÷资产总额</t>
  </si>
  <si>
    <t>负债总额÷资产总额</t>
  </si>
  <si>
    <t>资金安全率</t>
  </si>
  <si>
    <t>资产变现率－资产负债率</t>
  </si>
  <si>
    <t>资金安全效果评价</t>
  </si>
  <si>
    <t>根据资金安全率评价资金安全效果</t>
  </si>
  <si>
    <t>保本点安全率</t>
  </si>
  <si>
    <t>100%－保本点销售额÷实际或预计的销售额</t>
  </si>
  <si>
    <t>企业安全率</t>
  </si>
  <si>
    <t>主要根据保本点安全率和资金安全率来确定</t>
  </si>
  <si>
    <t>企业安全效果评价</t>
  </si>
  <si>
    <t>综合所得个税税率表</t>
  </si>
  <si>
    <t>全月应纳税所得额</t>
  </si>
  <si>
    <t>税 率</t>
  </si>
  <si>
    <t>扣除数</t>
  </si>
  <si>
    <t>备 注</t>
  </si>
  <si>
    <t xml:space="preserve">0＜X≤3000 </t>
  </si>
  <si>
    <t>3000＜X≤12000</t>
  </si>
  <si>
    <t>12000＜X≤25000</t>
  </si>
  <si>
    <t>25000＜X≤35000</t>
  </si>
  <si>
    <t>35000＜X≤55000</t>
  </si>
  <si>
    <t>55000＜X≤80000</t>
  </si>
  <si>
    <t>80000＜X≤∞</t>
  </si>
  <si>
    <t>工号</t>
  </si>
  <si>
    <t>姓名</t>
  </si>
  <si>
    <t>岗位</t>
  </si>
  <si>
    <t>应发工资</t>
  </si>
  <si>
    <t>专项扣除</t>
  </si>
  <si>
    <t>基本养老</t>
  </si>
  <si>
    <t>基本医疗</t>
  </si>
  <si>
    <t>失业</t>
  </si>
  <si>
    <t>工伤</t>
  </si>
  <si>
    <t>生育</t>
  </si>
  <si>
    <t>公积金</t>
  </si>
  <si>
    <t>应纳税所得额</t>
  </si>
  <si>
    <t>个税</t>
  </si>
  <si>
    <t>张三</t>
  </si>
  <si>
    <t>财务经理</t>
  </si>
  <si>
    <t>李四</t>
  </si>
  <si>
    <t>会计</t>
  </si>
  <si>
    <t>王五</t>
  </si>
  <si>
    <t>销售员</t>
  </si>
  <si>
    <t>时 间 序 列 预 测 分 析</t>
  </si>
  <si>
    <t>季度</t>
  </si>
  <si>
    <t>t</t>
  </si>
  <si>
    <t>销售额Y</t>
  </si>
  <si>
    <t>四项平均</t>
  </si>
  <si>
    <t>二项平均TC</t>
  </si>
  <si>
    <t>SI=Y/TC</t>
  </si>
  <si>
    <t>季节变化S</t>
  </si>
  <si>
    <t>长期趋势T</t>
  </si>
  <si>
    <t>周期变化C</t>
  </si>
  <si>
    <t>A</t>
  </si>
  <si>
    <t>B</t>
  </si>
  <si>
    <t>C</t>
  </si>
  <si>
    <t>D</t>
  </si>
  <si>
    <t>E</t>
  </si>
  <si>
    <t>F</t>
  </si>
  <si>
    <t>G</t>
  </si>
  <si>
    <t>H</t>
  </si>
  <si>
    <t>SUMMARY OUTPUT</t>
  </si>
  <si>
    <t>2010  1</t>
  </si>
  <si>
    <t>回归统计</t>
  </si>
  <si>
    <t>Multiple R</t>
  </si>
  <si>
    <t>R Square</t>
  </si>
  <si>
    <t>2011  1</t>
  </si>
  <si>
    <t>Adjusted R Square</t>
  </si>
  <si>
    <t>标准误差</t>
  </si>
  <si>
    <t>观测值</t>
  </si>
  <si>
    <t>2012  1</t>
  </si>
  <si>
    <t>方差分析</t>
  </si>
  <si>
    <t>df</t>
  </si>
  <si>
    <t>SS</t>
  </si>
  <si>
    <t>MS</t>
  </si>
  <si>
    <t>Significance F</t>
  </si>
  <si>
    <t>回归分析</t>
  </si>
  <si>
    <t>残差</t>
  </si>
  <si>
    <t>2013  1</t>
  </si>
  <si>
    <t>Coefficients</t>
  </si>
  <si>
    <t>t Stat</t>
  </si>
  <si>
    <t>P-value</t>
  </si>
  <si>
    <t>Lower 95%</t>
  </si>
  <si>
    <t>Upper 95%</t>
  </si>
  <si>
    <t>下限 95.0%</t>
  </si>
  <si>
    <t>上限 95.0%</t>
  </si>
  <si>
    <t>Intercept</t>
  </si>
  <si>
    <t>2014  1</t>
  </si>
  <si>
    <t>X Variable 1</t>
  </si>
  <si>
    <t>RESIDUAL OUTPUT</t>
  </si>
  <si>
    <t>回归函数方程：</t>
  </si>
  <si>
    <t>y=</t>
  </si>
  <si>
    <t>+</t>
  </si>
  <si>
    <t>*t</t>
  </si>
  <si>
    <t>预测 Y</t>
  </si>
  <si>
    <t>年份</t>
  </si>
  <si>
    <t>一季度</t>
  </si>
  <si>
    <t>二季度</t>
  </si>
  <si>
    <t>三季度</t>
  </si>
  <si>
    <t>四季度</t>
  </si>
  <si>
    <t>样本季节指数</t>
  </si>
  <si>
    <t>季节指数修正</t>
  </si>
  <si>
    <t>2014年各季度的销售预测值</t>
  </si>
  <si>
    <t>T</t>
  </si>
  <si>
    <t>S</t>
  </si>
  <si>
    <t>销售额预测</t>
  </si>
  <si>
    <t>现 金 预 算</t>
  </si>
  <si>
    <r>
      <rPr>
        <b/>
        <sz val="12"/>
        <rFont val="微软雅黑"/>
        <charset val="134"/>
      </rPr>
      <t>21</t>
    </r>
    <r>
      <rPr>
        <b/>
        <u/>
        <sz val="12"/>
        <rFont val="微软雅黑"/>
        <charset val="134"/>
      </rPr>
      <t xml:space="preserve">  </t>
    </r>
    <r>
      <rPr>
        <b/>
        <sz val="12"/>
        <rFont val="微软雅黑"/>
        <charset val="134"/>
      </rPr>
      <t>年季  度</t>
    </r>
  </si>
  <si>
    <t>一</t>
  </si>
  <si>
    <t>二</t>
  </si>
  <si>
    <t>三</t>
  </si>
  <si>
    <t>四</t>
  </si>
  <si>
    <t>全  年</t>
  </si>
  <si>
    <t>期初现金余额</t>
  </si>
  <si>
    <t xml:space="preserve">  加：销货现金收入</t>
  </si>
  <si>
    <t>可供使用现金</t>
  </si>
  <si>
    <t xml:space="preserve">  减：各项支出</t>
  </si>
  <si>
    <t xml:space="preserve">      直接材料</t>
  </si>
  <si>
    <t xml:space="preserve">      直接人工</t>
  </si>
  <si>
    <t xml:space="preserve">      制造费用</t>
  </si>
  <si>
    <t xml:space="preserve">      销售及管理费用</t>
  </si>
  <si>
    <t xml:space="preserve">      所得税费用</t>
  </si>
  <si>
    <t xml:space="preserve">      购买设备</t>
  </si>
  <si>
    <t xml:space="preserve">      股利</t>
  </si>
  <si>
    <t xml:space="preserve">      其他支出</t>
  </si>
  <si>
    <t xml:space="preserve">  支出合计</t>
  </si>
  <si>
    <t>现金多余或不足</t>
  </si>
  <si>
    <t>向银行借款</t>
  </si>
  <si>
    <t>还银行借款</t>
  </si>
  <si>
    <t>短期借款利息（年利%）</t>
  </si>
  <si>
    <t>长期借款利息（年利%）</t>
  </si>
  <si>
    <t>期末现金余额</t>
  </si>
  <si>
    <t xml:space="preserve">应 收 账 款 账 龄 分 析 表 </t>
  </si>
  <si>
    <t>当前日期:</t>
  </si>
  <si>
    <t>开票日期</t>
  </si>
  <si>
    <t>单位名称</t>
  </si>
  <si>
    <t>开票金额</t>
  </si>
  <si>
    <t>已收款金额</t>
  </si>
  <si>
    <t>未收款金额</t>
  </si>
  <si>
    <t>收款天数</t>
  </si>
  <si>
    <t>到期日期</t>
  </si>
  <si>
    <t>是否到期</t>
  </si>
  <si>
    <t>未到期金额</t>
  </si>
  <si>
    <t>逾期天数</t>
  </si>
  <si>
    <t>发票号码</t>
  </si>
  <si>
    <t>0～30</t>
  </si>
  <si>
    <t>30～60</t>
  </si>
  <si>
    <t>60～90</t>
  </si>
  <si>
    <t>90天以上</t>
  </si>
  <si>
    <t>合        计</t>
  </si>
  <si>
    <t>诊断分析——定量化战略计划矩阵</t>
  </si>
  <si>
    <t>单位：分</t>
  </si>
  <si>
    <t>类型</t>
  </si>
  <si>
    <t>关键因素</t>
  </si>
  <si>
    <t>权重</t>
  </si>
  <si>
    <t>打分</t>
  </si>
  <si>
    <t>横向一体化</t>
  </si>
  <si>
    <t>纵向一体化</t>
  </si>
  <si>
    <t>低成本战略</t>
  </si>
  <si>
    <t>市场开发</t>
  </si>
  <si>
    <t>开发高档产品</t>
  </si>
  <si>
    <t>AS</t>
  </si>
  <si>
    <t>TAS</t>
  </si>
  <si>
    <t>优势</t>
  </si>
  <si>
    <t>销售情况分析</t>
  </si>
  <si>
    <t>研究与开发</t>
  </si>
  <si>
    <t>生产与运作</t>
  </si>
  <si>
    <t>人力资源管理</t>
  </si>
  <si>
    <t>财务及会计</t>
  </si>
  <si>
    <t>其他优势</t>
  </si>
  <si>
    <t>劣势</t>
  </si>
  <si>
    <t>销售分析</t>
  </si>
  <si>
    <t>人力资源</t>
  </si>
  <si>
    <t>其他劣势</t>
  </si>
  <si>
    <t>机遇</t>
  </si>
  <si>
    <t>政治环境</t>
  </si>
  <si>
    <t>经济环境</t>
  </si>
  <si>
    <t>法律环境</t>
  </si>
  <si>
    <t>文化环境</t>
  </si>
  <si>
    <t>科学技术</t>
  </si>
  <si>
    <t>竞争环境</t>
  </si>
  <si>
    <t>其他环境</t>
  </si>
  <si>
    <t>威胁</t>
  </si>
  <si>
    <t>备注：（关键因素每个分项的分值满分为5分）</t>
  </si>
  <si>
    <t>1、优势类因素：AS表示该备选战略利用该优势的能力，分值越大，利用该优势的能力越强。</t>
  </si>
  <si>
    <t>2、劣势类因素：AS表示该备选战略避短或补短的能力，分值越大，避短或补短的能力越强。</t>
  </si>
  <si>
    <t>3、机会类因素：AS表示该备选战略利用该机会的能力，分值越大，抓住和利用机会的能力越强。</t>
  </si>
  <si>
    <t>4、威胁类因素：AS表示该备选战略应付威胁的能力，分值越大，应付该威胁的能力越强。</t>
  </si>
  <si>
    <t>自 制 和 外 购 决 策</t>
  </si>
  <si>
    <t>年需要量</t>
  </si>
  <si>
    <t>外购</t>
  </si>
  <si>
    <t>自制</t>
  </si>
  <si>
    <t>每日用量</t>
  </si>
  <si>
    <t>决策因素</t>
  </si>
  <si>
    <t>单位生产成本</t>
  </si>
  <si>
    <t>单价</t>
  </si>
  <si>
    <t>每次生产准备成本</t>
  </si>
  <si>
    <t>每次订货成本</t>
  </si>
  <si>
    <t>单位存储变动成本</t>
  </si>
  <si>
    <t>每日产量</t>
  </si>
  <si>
    <t>决策目标</t>
  </si>
  <si>
    <t>备注</t>
  </si>
  <si>
    <t>经济订货量</t>
  </si>
  <si>
    <t>最低订储成本</t>
  </si>
  <si>
    <t>总成本</t>
  </si>
  <si>
    <t>企 业 价 值 评 估</t>
  </si>
  <si>
    <t>变量</t>
  </si>
  <si>
    <t>本期销售收入</t>
  </si>
  <si>
    <t>息税前营业利润率</t>
  </si>
  <si>
    <t>总资产/销售收入</t>
  </si>
  <si>
    <t>资本成本</t>
  </si>
  <si>
    <t>未来5年内</t>
  </si>
  <si>
    <t>未来5年后</t>
  </si>
  <si>
    <t>现金流量法</t>
  </si>
  <si>
    <t>本年</t>
  </si>
  <si>
    <t>第1年</t>
  </si>
  <si>
    <t>第2年</t>
  </si>
  <si>
    <t>第3年</t>
  </si>
  <si>
    <t>第4年</t>
  </si>
  <si>
    <t>第5年</t>
  </si>
  <si>
    <t>第6年</t>
  </si>
  <si>
    <t>息税前营业利润</t>
  </si>
  <si>
    <t>息前税后营业利润</t>
  </si>
  <si>
    <t>投资资本</t>
  </si>
  <si>
    <t>净投资</t>
  </si>
  <si>
    <t>---</t>
  </si>
  <si>
    <t>实体现金流量</t>
  </si>
  <si>
    <t>成长期现金流量现值</t>
  </si>
  <si>
    <t>后续期价值</t>
  </si>
  <si>
    <t>实体价值合计</t>
  </si>
  <si>
    <t>经济利润法</t>
  </si>
  <si>
    <t>经济利润</t>
  </si>
  <si>
    <t>成长期经济利润现值</t>
  </si>
  <si>
    <t>计算</t>
  </si>
  <si>
    <t>比 重 绩 效 评 分 模 型</t>
  </si>
  <si>
    <t>年     月    日</t>
  </si>
  <si>
    <t>关系</t>
  </si>
  <si>
    <t>权数</t>
  </si>
  <si>
    <t>调整</t>
  </si>
  <si>
    <t>财务得分</t>
  </si>
  <si>
    <t>管理业绩</t>
  </si>
  <si>
    <t>管理得分</t>
  </si>
  <si>
    <t>评议指标</t>
  </si>
  <si>
    <t>一、盈利能力状况34</t>
  </si>
  <si>
    <t>战略管理</t>
  </si>
  <si>
    <t>发展创新</t>
  </si>
  <si>
    <t>经营决策</t>
  </si>
  <si>
    <t>风险控制</t>
  </si>
  <si>
    <t>基础管理</t>
  </si>
  <si>
    <t>二、资产质量状况22</t>
  </si>
  <si>
    <t>行业影响</t>
  </si>
  <si>
    <t>社会贡献</t>
  </si>
  <si>
    <t>管理合计</t>
  </si>
  <si>
    <t xml:space="preserve">    不良资产比率(新制度)(%)</t>
  </si>
  <si>
    <t>经营现金净流量÷平均资产总额</t>
  </si>
  <si>
    <t>三、债务风险状况22</t>
  </si>
  <si>
    <t>综合得分</t>
  </si>
  <si>
    <t>5种评价类型：</t>
  </si>
  <si>
    <t>1、优（A）：综合得分≥85。</t>
  </si>
  <si>
    <t>2、良（B）：85&gt;综合得分≥70。</t>
  </si>
  <si>
    <t>3、中（C）：70&gt;综合得分≥50。</t>
  </si>
  <si>
    <t>4、低（D）：50&gt;综合得分≥40。</t>
  </si>
  <si>
    <t>四、经营增长状况22</t>
  </si>
  <si>
    <t>5、差（E）：综合得分&lt;40。</t>
  </si>
  <si>
    <t>10个评价级别：</t>
  </si>
  <si>
    <t>1、优（A）：Ａ++、Ａ+、Ａ。</t>
  </si>
  <si>
    <t>2、良（B）：Ｂ+、Ｂ、Ｂ-。</t>
  </si>
  <si>
    <t>3、中（C）：Ｃ、Ｃ-。</t>
  </si>
  <si>
    <t>4、低（D）：D。</t>
  </si>
  <si>
    <t>财务合计</t>
  </si>
  <si>
    <t>5、差（E）：E。</t>
  </si>
  <si>
    <t>所属时期或截至时间：</t>
  </si>
  <si>
    <t>复核人员：</t>
  </si>
  <si>
    <t>日期：</t>
  </si>
  <si>
    <t>金额单位：人民币元</t>
  </si>
  <si>
    <r>
      <rPr>
        <sz val="9"/>
        <rFont val="Times New Roman"/>
        <charset val="134"/>
      </rPr>
      <t>1</t>
    </r>
    <r>
      <rPr>
        <sz val="9"/>
        <rFont val="宋体"/>
        <charset val="134"/>
      </rPr>
      <t>月份</t>
    </r>
  </si>
  <si>
    <r>
      <rPr>
        <sz val="9"/>
        <rFont val="Times New Roman"/>
        <charset val="134"/>
      </rPr>
      <t>2</t>
    </r>
    <r>
      <rPr>
        <sz val="9"/>
        <rFont val="宋体"/>
        <charset val="134"/>
      </rPr>
      <t>月份</t>
    </r>
  </si>
  <si>
    <r>
      <rPr>
        <sz val="9"/>
        <rFont val="Times New Roman"/>
        <charset val="134"/>
      </rPr>
      <t>3</t>
    </r>
    <r>
      <rPr>
        <sz val="9"/>
        <rFont val="宋体"/>
        <charset val="134"/>
      </rPr>
      <t>月份</t>
    </r>
  </si>
  <si>
    <r>
      <rPr>
        <sz val="9"/>
        <rFont val="Times New Roman"/>
        <charset val="134"/>
      </rPr>
      <t>4</t>
    </r>
    <r>
      <rPr>
        <sz val="9"/>
        <rFont val="宋体"/>
        <charset val="134"/>
      </rPr>
      <t>月份</t>
    </r>
  </si>
  <si>
    <r>
      <rPr>
        <sz val="9"/>
        <rFont val="Times New Roman"/>
        <charset val="134"/>
      </rPr>
      <t>5</t>
    </r>
    <r>
      <rPr>
        <sz val="9"/>
        <rFont val="宋体"/>
        <charset val="134"/>
      </rPr>
      <t>月份</t>
    </r>
  </si>
  <si>
    <r>
      <rPr>
        <sz val="9"/>
        <rFont val="Times New Roman"/>
        <charset val="134"/>
      </rPr>
      <t>6</t>
    </r>
    <r>
      <rPr>
        <sz val="9"/>
        <rFont val="宋体"/>
        <charset val="134"/>
      </rPr>
      <t>月份</t>
    </r>
  </si>
  <si>
    <r>
      <rPr>
        <sz val="9"/>
        <rFont val="Times New Roman"/>
        <charset val="134"/>
      </rPr>
      <t>7</t>
    </r>
    <r>
      <rPr>
        <sz val="9"/>
        <rFont val="宋体"/>
        <charset val="134"/>
      </rPr>
      <t>月份</t>
    </r>
  </si>
  <si>
    <r>
      <rPr>
        <sz val="9"/>
        <rFont val="Times New Roman"/>
        <charset val="134"/>
      </rPr>
      <t>8</t>
    </r>
    <r>
      <rPr>
        <sz val="9"/>
        <rFont val="宋体"/>
        <charset val="134"/>
      </rPr>
      <t>月份</t>
    </r>
  </si>
  <si>
    <r>
      <rPr>
        <sz val="9"/>
        <rFont val="Times New Roman"/>
        <charset val="134"/>
      </rPr>
      <t>9</t>
    </r>
    <r>
      <rPr>
        <sz val="9"/>
        <rFont val="宋体"/>
        <charset val="134"/>
      </rPr>
      <t>月份</t>
    </r>
  </si>
  <si>
    <r>
      <rPr>
        <sz val="9"/>
        <rFont val="Times New Roman"/>
        <charset val="134"/>
      </rPr>
      <t>10</t>
    </r>
    <r>
      <rPr>
        <sz val="9"/>
        <rFont val="宋体"/>
        <charset val="134"/>
      </rPr>
      <t>月份</t>
    </r>
  </si>
  <si>
    <r>
      <rPr>
        <sz val="9"/>
        <rFont val="Times New Roman"/>
        <charset val="134"/>
      </rPr>
      <t>11</t>
    </r>
    <r>
      <rPr>
        <sz val="9"/>
        <rFont val="宋体"/>
        <charset val="134"/>
      </rPr>
      <t>月份</t>
    </r>
  </si>
  <si>
    <r>
      <rPr>
        <sz val="9"/>
        <rFont val="Times New Roman"/>
        <charset val="134"/>
      </rPr>
      <t>12</t>
    </r>
    <r>
      <rPr>
        <sz val="9"/>
        <rFont val="宋体"/>
        <charset val="134"/>
      </rPr>
      <t>月份</t>
    </r>
  </si>
  <si>
    <t>结构</t>
  </si>
  <si>
    <t>排序</t>
  </si>
  <si>
    <t>期初数</t>
  </si>
  <si>
    <t>直接材料</t>
  </si>
  <si>
    <t>直接人工</t>
  </si>
  <si>
    <t>制造费用</t>
  </si>
  <si>
    <t>本期转出</t>
  </si>
  <si>
    <t>期末数</t>
  </si>
  <si>
    <t>一、生产成本趋势表</t>
  </si>
  <si>
    <t>二、生产成本结构图</t>
  </si>
  <si>
    <t>审计结论：</t>
  </si>
  <si>
    <t>三、生产成本明细趋势表</t>
  </si>
  <si>
    <t>四、生产成本明细结构图</t>
  </si>
  <si>
    <t>单位名称：</t>
  </si>
  <si>
    <t>制表人员：</t>
  </si>
  <si>
    <t>上年数</t>
  </si>
  <si>
    <t>本年数</t>
  </si>
  <si>
    <t>金额排序</t>
  </si>
  <si>
    <t>比率排序</t>
  </si>
  <si>
    <t>上年结构</t>
  </si>
  <si>
    <t>本年结构</t>
  </si>
  <si>
    <t>结构增减</t>
  </si>
  <si>
    <t>增减排序</t>
  </si>
  <si>
    <t>结论</t>
  </si>
  <si>
    <t>一、生产成本趋势图</t>
  </si>
  <si>
    <t>二、生产成本结构趋势图</t>
  </si>
  <si>
    <t>三、生产成本每月结转数趋势图</t>
  </si>
  <si>
    <t>四、生产成本每月结余数趋势图</t>
  </si>
  <si>
    <t>平均数：</t>
  </si>
  <si>
    <t>相关系数：</t>
  </si>
  <si>
    <t>转出数量</t>
  </si>
  <si>
    <t>单位成本</t>
  </si>
  <si>
    <t>直接材料比重</t>
  </si>
  <si>
    <t>直接人工比重</t>
  </si>
  <si>
    <t>制造费用比重</t>
  </si>
  <si>
    <t>其他比重</t>
  </si>
  <si>
    <t>结构排序</t>
  </si>
  <si>
    <t>上年发生额</t>
  </si>
  <si>
    <t>一、生产成本本年结构图</t>
  </si>
  <si>
    <t>二、生产成本上年结构图</t>
  </si>
  <si>
    <t>被审计单位名称：</t>
  </si>
  <si>
    <t>查验人员：</t>
  </si>
  <si>
    <r>
      <rPr>
        <sz val="9"/>
        <rFont val="宋体"/>
        <charset val="134"/>
      </rPr>
      <t>索引号：</t>
    </r>
    <r>
      <rPr>
        <sz val="9"/>
        <rFont val="Times New Roman"/>
        <charset val="134"/>
      </rPr>
      <t xml:space="preserve">                                          </t>
    </r>
  </si>
  <si>
    <t>三、结构变动图</t>
  </si>
  <si>
    <t>四、生产成本对比图</t>
  </si>
  <si>
    <t>四、费用比重图</t>
  </si>
  <si>
    <t>五、发生额与结转数对比</t>
  </si>
  <si>
    <t>产品名称</t>
  </si>
  <si>
    <t>一、费用结构对比表</t>
  </si>
  <si>
    <t>二、产量和单位成本变动表</t>
  </si>
  <si>
    <t>三、费用变动趋势表</t>
  </si>
  <si>
    <t>I</t>
  </si>
  <si>
    <t>J</t>
  </si>
  <si>
    <t>K</t>
  </si>
  <si>
    <t>L</t>
  </si>
  <si>
    <t>M</t>
  </si>
  <si>
    <t>N</t>
  </si>
  <si>
    <t>O</t>
  </si>
  <si>
    <t>P</t>
  </si>
  <si>
    <t>Q</t>
  </si>
  <si>
    <t>上年单位成本</t>
  </si>
  <si>
    <t>本年单位成本</t>
  </si>
  <si>
    <t>单位成本增减</t>
  </si>
  <si>
    <t>成本项目</t>
  </si>
  <si>
    <t>上年单位成本比重</t>
  </si>
  <si>
    <t>本年单位成本比重</t>
  </si>
  <si>
    <t>单位成本比重增减</t>
  </si>
  <si>
    <r>
      <rPr>
        <sz val="9"/>
        <rFont val="宋体"/>
        <charset val="134"/>
      </rPr>
      <t>注：红色黄底数字表示增减比率大于等于</t>
    </r>
    <r>
      <rPr>
        <sz val="9"/>
        <rFont val="Times New Roman"/>
        <charset val="134"/>
      </rPr>
      <t>30%</t>
    </r>
    <r>
      <rPr>
        <sz val="9"/>
        <rFont val="宋体"/>
        <charset val="134"/>
      </rPr>
      <t>。</t>
    </r>
  </si>
  <si>
    <t>一、单位成本对比表</t>
  </si>
  <si>
    <t>二、单位成本项目增减表</t>
  </si>
  <si>
    <t>]</t>
  </si>
  <si>
    <t>三、单位成本结构增减表</t>
  </si>
  <si>
    <t>四、直接材料比重对比表</t>
  </si>
  <si>
    <t>五、直接人工比重对比表</t>
  </si>
  <si>
    <t>六、制造费用比重对比表</t>
  </si>
  <si>
    <t>七、其他费用比重对比表</t>
  </si>
</sst>
</file>

<file path=xl/styles.xml><?xml version="1.0" encoding="utf-8"?>
<styleSheet xmlns="http://schemas.openxmlformats.org/spreadsheetml/2006/main">
  <numFmts count="20">
    <numFmt numFmtId="8" formatCode="&quot;￥&quot;#,##0.00;[Red]&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000000_ "/>
    <numFmt numFmtId="178" formatCode="0.00_ "/>
    <numFmt numFmtId="179" formatCode="0_ "/>
    <numFmt numFmtId="180" formatCode="0.0000_ "/>
    <numFmt numFmtId="181" formatCode="0.0_ "/>
    <numFmt numFmtId="182" formatCode="yyyy&quot;年&quot;"/>
    <numFmt numFmtId="183" formatCode="0;_쀀"/>
    <numFmt numFmtId="184" formatCode="0_);[Red]\(0\)"/>
    <numFmt numFmtId="185" formatCode="#,##0.00_ "/>
    <numFmt numFmtId="186" formatCode="0.0000_ ;[Red]\-0.0000\ "/>
    <numFmt numFmtId="187" formatCode="yyyy&quot;年&quot;m&quot;月&quot;;@"/>
    <numFmt numFmtId="188" formatCode="&quot;地区平均税负率&quot;@"/>
    <numFmt numFmtId="189" formatCode="_(* #,##0_);_(* \(#,##0\);_(* &quot;-&quot;_);_(@_)"/>
    <numFmt numFmtId="190" formatCode="_ * #,##0.0_ ;_ * \-#,##0.0_ ;_ * &quot;-&quot;?_ ;_ @_ "/>
  </numFmts>
  <fonts count="88">
    <font>
      <sz val="12"/>
      <name val="宋体"/>
      <charset val="134"/>
    </font>
    <font>
      <sz val="9"/>
      <name val="Times New Roman"/>
      <charset val="134"/>
    </font>
    <font>
      <sz val="9"/>
      <name val="宋体"/>
      <charset val="134"/>
    </font>
    <font>
      <sz val="10"/>
      <name val="宋体"/>
      <charset val="134"/>
    </font>
    <font>
      <b/>
      <sz val="10"/>
      <name val="宋体"/>
      <charset val="134"/>
    </font>
    <font>
      <b/>
      <sz val="20"/>
      <name val="微软雅黑"/>
      <charset val="134"/>
    </font>
    <font>
      <b/>
      <sz val="10"/>
      <color indexed="10"/>
      <name val="微软雅黑"/>
      <charset val="134"/>
    </font>
    <font>
      <b/>
      <sz val="10"/>
      <name val="微软雅黑"/>
      <charset val="134"/>
    </font>
    <font>
      <sz val="10"/>
      <name val="微软雅黑"/>
      <charset val="134"/>
    </font>
    <font>
      <sz val="10"/>
      <color indexed="10"/>
      <name val="微软雅黑"/>
      <charset val="134"/>
    </font>
    <font>
      <sz val="10"/>
      <color indexed="12"/>
      <name val="微软雅黑"/>
      <charset val="134"/>
    </font>
    <font>
      <sz val="10"/>
      <color indexed="25"/>
      <name val="微软雅黑"/>
      <charset val="134"/>
    </font>
    <font>
      <sz val="12"/>
      <name val="微软雅黑"/>
      <charset val="134"/>
    </font>
    <font>
      <b/>
      <sz val="10"/>
      <color rgb="FFFF0000"/>
      <name val="微软雅黑"/>
      <charset val="134"/>
    </font>
    <font>
      <b/>
      <sz val="12"/>
      <color indexed="9"/>
      <name val="微软雅黑"/>
      <charset val="134"/>
    </font>
    <font>
      <b/>
      <sz val="10"/>
      <color indexed="9"/>
      <name val="微软雅黑"/>
      <charset val="134"/>
    </font>
    <font>
      <b/>
      <sz val="12"/>
      <name val="微软雅黑"/>
      <charset val="134"/>
    </font>
    <font>
      <b/>
      <sz val="12"/>
      <color rgb="FFFF0000"/>
      <name val="微软雅黑"/>
      <charset val="134"/>
    </font>
    <font>
      <b/>
      <sz val="16"/>
      <color rgb="FFFF0000"/>
      <name val="微软雅黑"/>
      <charset val="134"/>
    </font>
    <font>
      <sz val="10"/>
      <color rgb="FFFF0000"/>
      <name val="微软雅黑"/>
      <charset val="134"/>
    </font>
    <font>
      <sz val="12"/>
      <color indexed="10"/>
      <name val="微软雅黑"/>
      <charset val="134"/>
    </font>
    <font>
      <b/>
      <sz val="10.5"/>
      <name val="微软雅黑"/>
      <charset val="134"/>
    </font>
    <font>
      <sz val="10.5"/>
      <name val="微软雅黑"/>
      <charset val="134"/>
    </font>
    <font>
      <b/>
      <sz val="11"/>
      <name val="微软雅黑"/>
      <charset val="134"/>
    </font>
    <font>
      <b/>
      <sz val="11"/>
      <color indexed="16"/>
      <name val="微软雅黑"/>
      <charset val="134"/>
    </font>
    <font>
      <sz val="11"/>
      <name val="微软雅黑"/>
      <charset val="134"/>
    </font>
    <font>
      <sz val="11"/>
      <color rgb="FFFF0000"/>
      <name val="微软雅黑"/>
      <charset val="134"/>
    </font>
    <font>
      <sz val="8"/>
      <name val="微软雅黑"/>
      <charset val="134"/>
    </font>
    <font>
      <b/>
      <sz val="11"/>
      <color rgb="FFFF0000"/>
      <name val="微软雅黑"/>
      <charset val="134"/>
    </font>
    <font>
      <sz val="12"/>
      <color rgb="FFFF0000"/>
      <name val="微软雅黑"/>
      <charset val="134"/>
    </font>
    <font>
      <sz val="14"/>
      <name val="微软雅黑"/>
      <charset val="134"/>
    </font>
    <font>
      <b/>
      <sz val="14"/>
      <color indexed="10"/>
      <name val="微软雅黑"/>
      <charset val="134"/>
    </font>
    <font>
      <sz val="11"/>
      <color indexed="10"/>
      <name val="微软雅黑"/>
      <charset val="134"/>
    </font>
    <font>
      <b/>
      <sz val="10"/>
      <color indexed="10"/>
      <name val="宋体"/>
      <charset val="134"/>
    </font>
    <font>
      <b/>
      <sz val="20"/>
      <name val="宋体"/>
      <charset val="134"/>
    </font>
    <font>
      <sz val="12"/>
      <name val="Arial"/>
      <charset val="134"/>
    </font>
    <font>
      <b/>
      <sz val="24"/>
      <name val="微软雅黑"/>
      <charset val="134"/>
    </font>
    <font>
      <b/>
      <sz val="22"/>
      <name val="微软雅黑"/>
      <charset val="134"/>
    </font>
    <font>
      <b/>
      <sz val="16"/>
      <name val="微软雅黑"/>
      <charset val="134"/>
    </font>
    <font>
      <sz val="12"/>
      <color indexed="57"/>
      <name val="微软雅黑"/>
      <charset val="134"/>
    </font>
    <font>
      <sz val="16"/>
      <name val="宋体"/>
      <charset val="134"/>
    </font>
    <font>
      <b/>
      <sz val="16"/>
      <color indexed="10"/>
      <name val="微软雅黑"/>
      <charset val="134"/>
    </font>
    <font>
      <sz val="16"/>
      <name val="微软雅黑"/>
      <charset val="134"/>
    </font>
    <font>
      <b/>
      <sz val="20"/>
      <color indexed="10"/>
      <name val="微软雅黑"/>
      <charset val="134"/>
    </font>
    <font>
      <b/>
      <sz val="10"/>
      <color indexed="12"/>
      <name val="微软雅黑"/>
      <charset val="134"/>
    </font>
    <font>
      <sz val="12"/>
      <color indexed="12"/>
      <name val="微软雅黑"/>
      <charset val="134"/>
    </font>
    <font>
      <sz val="10"/>
      <color indexed="17"/>
      <name val="微软雅黑"/>
      <charset val="134"/>
    </font>
    <font>
      <sz val="20"/>
      <name val="微软雅黑"/>
      <charset val="134"/>
    </font>
    <font>
      <sz val="10"/>
      <name val="Arial"/>
      <charset val="134"/>
    </font>
    <font>
      <b/>
      <sz val="20"/>
      <color indexed="8"/>
      <name val="微软雅黑"/>
      <charset val="134"/>
    </font>
    <font>
      <b/>
      <sz val="10"/>
      <color indexed="8"/>
      <name val="微软雅黑"/>
      <charset val="134"/>
    </font>
    <font>
      <sz val="10"/>
      <color indexed="8"/>
      <name val="微软雅黑"/>
      <charset val="134"/>
    </font>
    <font>
      <sz val="11"/>
      <name val="Arial"/>
      <charset val="134"/>
    </font>
    <font>
      <b/>
      <sz val="10"/>
      <color indexed="10"/>
      <name val="Arial"/>
      <charset val="134"/>
    </font>
    <font>
      <b/>
      <sz val="11"/>
      <name val="Arial"/>
      <charset val="134"/>
    </font>
    <font>
      <sz val="9"/>
      <name val="微软雅黑"/>
      <charset val="134"/>
    </font>
    <font>
      <b/>
      <sz val="9"/>
      <color indexed="10"/>
      <name val="微软雅黑"/>
      <charset val="134"/>
    </font>
    <font>
      <b/>
      <sz val="9"/>
      <name val="微软雅黑"/>
      <charset val="134"/>
    </font>
    <font>
      <b/>
      <sz val="12"/>
      <color indexed="10"/>
      <name val="微软雅黑"/>
      <charset val="134"/>
    </font>
    <font>
      <sz val="18"/>
      <name val="微软雅黑"/>
      <charset val="134"/>
    </font>
    <font>
      <sz val="8"/>
      <color rgb="FFFF0000"/>
      <name val="微软雅黑"/>
      <charset val="134"/>
    </font>
    <font>
      <b/>
      <sz val="20"/>
      <color rgb="FFFF0066"/>
      <name val="微软雅黑"/>
      <charset val="134"/>
    </font>
    <font>
      <b/>
      <u/>
      <sz val="12"/>
      <color rgb="FF800080"/>
      <name val="微软雅黑"/>
      <charset val="134"/>
    </font>
    <font>
      <b/>
      <u/>
      <sz val="12"/>
      <color indexed="4"/>
      <name val="微软雅黑"/>
      <charset val="134"/>
    </font>
    <font>
      <b/>
      <sz val="24"/>
      <name val="华文细黑"/>
      <charset val="134"/>
    </font>
    <font>
      <b/>
      <sz val="12"/>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2"/>
      <color indexed="4"/>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u/>
      <sz val="12"/>
      <name val="微软雅黑"/>
      <charset val="134"/>
    </font>
    <font>
      <sz val="9"/>
      <name val="宋体"/>
      <charset val="134"/>
    </font>
  </fonts>
  <fills count="52">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23"/>
        <bgColor indexed="64"/>
      </patternFill>
    </fill>
    <fill>
      <patternFill patternType="solid">
        <fgColor theme="7" tint="0.599993896298105"/>
        <bgColor indexed="64"/>
      </patternFill>
    </fill>
    <fill>
      <patternFill patternType="solid">
        <fgColor indexed="44"/>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rgb="FF99CCFF"/>
        <bgColor indexed="64"/>
      </patternFill>
    </fill>
    <fill>
      <patternFill patternType="solid">
        <fgColor rgb="FFFFFF99"/>
        <bgColor indexed="64"/>
      </patternFill>
    </fill>
    <fill>
      <patternFill patternType="solid">
        <fgColor indexed="10"/>
        <bgColor indexed="64"/>
      </patternFill>
    </fill>
    <fill>
      <patternFill patternType="solid">
        <fgColor rgb="FFFF0000"/>
        <bgColor indexed="64"/>
      </patternFill>
    </fill>
    <fill>
      <patternFill patternType="solid">
        <fgColor rgb="FF66CCFF"/>
        <bgColor indexed="64"/>
      </patternFill>
    </fill>
    <fill>
      <patternFill patternType="solid">
        <fgColor rgb="FFFFFF00"/>
        <bgColor indexed="64"/>
      </patternFill>
    </fill>
    <fill>
      <patternFill patternType="solid">
        <fgColor indexed="42"/>
        <bgColor indexed="64"/>
      </patternFill>
    </fill>
    <fill>
      <patternFill patternType="solid">
        <fgColor rgb="FFFFC000"/>
        <bgColor indexed="64"/>
      </patternFill>
    </fill>
    <fill>
      <patternFill patternType="solid">
        <fgColor indexed="53"/>
        <bgColor indexed="64"/>
      </patternFill>
    </fill>
    <fill>
      <patternFill patternType="solid">
        <fgColor theme="5"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47">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style="thin">
        <color auto="1"/>
      </right>
      <top/>
      <bottom style="thin">
        <color auto="1"/>
      </bottom>
      <diagonal/>
    </border>
    <border>
      <left/>
      <right style="thick">
        <color indexed="12"/>
      </right>
      <top/>
      <bottom/>
      <diagonal/>
    </border>
    <border>
      <left style="thin">
        <color auto="1"/>
      </left>
      <right style="thick">
        <color indexed="12"/>
      </right>
      <top/>
      <bottom style="thin">
        <color auto="1"/>
      </bottom>
      <diagonal/>
    </border>
    <border>
      <left style="thin">
        <color auto="1"/>
      </left>
      <right style="thick">
        <color indexed="12"/>
      </right>
      <top style="thin">
        <color auto="1"/>
      </top>
      <bottom style="thin">
        <color auto="1"/>
      </bottom>
      <diagonal/>
    </border>
    <border>
      <left/>
      <right/>
      <top/>
      <bottom style="thin">
        <color auto="1"/>
      </bottom>
      <diagonal/>
    </border>
    <border>
      <left/>
      <right/>
      <top style="thin">
        <color auto="1"/>
      </top>
      <bottom/>
      <diagonal/>
    </border>
    <border>
      <left/>
      <right/>
      <top style="medium">
        <color auto="1"/>
      </top>
      <bottom style="thin">
        <color auto="1"/>
      </bottom>
      <diagonal/>
    </border>
    <border>
      <left/>
      <right/>
      <top/>
      <bottom style="medium">
        <color auto="1"/>
      </bottom>
      <diagonal/>
    </border>
    <border>
      <left style="thick">
        <color indexed="50"/>
      </left>
      <right style="thin">
        <color indexed="50"/>
      </right>
      <top style="thick">
        <color indexed="50"/>
      </top>
      <bottom style="thin">
        <color indexed="50"/>
      </bottom>
      <diagonal/>
    </border>
    <border>
      <left style="thick">
        <color indexed="50"/>
      </left>
      <right style="thin">
        <color indexed="50"/>
      </right>
      <top style="thin">
        <color indexed="50"/>
      </top>
      <bottom style="thin">
        <color indexed="50"/>
      </bottom>
      <diagonal/>
    </border>
    <border>
      <left style="thick">
        <color indexed="50"/>
      </left>
      <right style="thin">
        <color indexed="50"/>
      </right>
      <top style="thin">
        <color indexed="50"/>
      </top>
      <bottom style="thick">
        <color indexed="50"/>
      </bottom>
      <diagonal/>
    </border>
    <border>
      <left style="thin">
        <color indexed="50"/>
      </left>
      <right style="thick">
        <color indexed="50"/>
      </right>
      <top style="thick">
        <color indexed="50"/>
      </top>
      <bottom style="thin">
        <color indexed="50"/>
      </bottom>
      <diagonal/>
    </border>
    <border>
      <left style="thin">
        <color indexed="50"/>
      </left>
      <right style="thick">
        <color indexed="50"/>
      </right>
      <top style="thin">
        <color indexed="50"/>
      </top>
      <bottom style="thin">
        <color indexed="50"/>
      </bottom>
      <diagonal/>
    </border>
    <border>
      <left style="thin">
        <color indexed="50"/>
      </left>
      <right style="thick">
        <color indexed="50"/>
      </right>
      <top style="thin">
        <color indexed="50"/>
      </top>
      <bottom style="thick">
        <color indexed="50"/>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diagonal/>
    </border>
    <border>
      <left style="medium">
        <color indexed="51"/>
      </left>
      <right style="medium">
        <color indexed="9"/>
      </right>
      <top style="medium">
        <color indexed="51"/>
      </top>
      <bottom style="medium">
        <color indexed="9"/>
      </bottom>
      <diagonal/>
    </border>
    <border>
      <left style="medium">
        <color indexed="9"/>
      </left>
      <right style="medium">
        <color indexed="9"/>
      </right>
      <top style="medium">
        <color indexed="51"/>
      </top>
      <bottom style="medium">
        <color indexed="9"/>
      </bottom>
      <diagonal/>
    </border>
    <border>
      <left style="medium">
        <color indexed="9"/>
      </left>
      <right style="medium">
        <color indexed="11"/>
      </right>
      <top style="medium">
        <color indexed="51"/>
      </top>
      <bottom style="medium">
        <color indexed="9"/>
      </bottom>
      <diagonal/>
    </border>
    <border>
      <left style="medium">
        <color indexed="11"/>
      </left>
      <right/>
      <top/>
      <bottom/>
      <diagonal/>
    </border>
    <border>
      <left/>
      <right style="medium">
        <color indexed="9"/>
      </right>
      <top/>
      <bottom/>
      <diagonal/>
    </border>
    <border>
      <left style="medium">
        <color indexed="51"/>
      </left>
      <right style="medium">
        <color indexed="9"/>
      </right>
      <top style="medium">
        <color indexed="9"/>
      </top>
      <bottom style="medium">
        <color indexed="11"/>
      </bottom>
      <diagonal/>
    </border>
    <border>
      <left style="medium">
        <color indexed="9"/>
      </left>
      <right style="medium">
        <color indexed="9"/>
      </right>
      <top style="medium">
        <color indexed="9"/>
      </top>
      <bottom style="medium">
        <color indexed="11"/>
      </bottom>
      <diagonal/>
    </border>
    <border>
      <left style="medium">
        <color indexed="9"/>
      </left>
      <right style="medium">
        <color indexed="11"/>
      </right>
      <top style="medium">
        <color indexed="9"/>
      </top>
      <bottom style="medium">
        <color indexed="11"/>
      </bottom>
      <diagonal/>
    </border>
    <border>
      <left/>
      <right/>
      <top/>
      <bottom style="medium">
        <color indexed="9"/>
      </bottom>
      <diagonal/>
    </border>
    <border>
      <left/>
      <right style="medium">
        <color indexed="9"/>
      </right>
      <top/>
      <bottom style="medium">
        <color indexed="9"/>
      </bottom>
      <diagonal/>
    </border>
    <border>
      <left style="medium">
        <color auto="1"/>
      </left>
      <right style="thin">
        <color auto="1"/>
      </right>
      <top/>
      <bottom/>
      <diagonal/>
    </border>
    <border>
      <left style="thin">
        <color auto="1"/>
      </left>
      <right style="medium">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4">
    <xf numFmtId="0" fontId="0" fillId="0" borderId="0">
      <alignment vertical="center"/>
    </xf>
    <xf numFmtId="42" fontId="66" fillId="0" borderId="0" applyFont="0" applyFill="0" applyBorder="0" applyAlignment="0" applyProtection="0">
      <alignment vertical="center"/>
    </xf>
    <xf numFmtId="0" fontId="67" fillId="22" borderId="0" applyNumberFormat="0" applyBorder="0" applyAlignment="0" applyProtection="0">
      <alignment vertical="center"/>
    </xf>
    <xf numFmtId="0" fontId="68" fillId="23" borderId="39" applyNumberFormat="0" applyAlignment="0" applyProtection="0">
      <alignment vertical="center"/>
    </xf>
    <xf numFmtId="44" fontId="66" fillId="0" borderId="0" applyFont="0" applyFill="0" applyBorder="0" applyAlignment="0" applyProtection="0">
      <alignment vertical="center"/>
    </xf>
    <xf numFmtId="41" fontId="66" fillId="0" borderId="0" applyFont="0" applyFill="0" applyBorder="0" applyAlignment="0" applyProtection="0">
      <alignment vertical="center"/>
    </xf>
    <xf numFmtId="0" fontId="0" fillId="0" borderId="0">
      <alignment vertical="center"/>
    </xf>
    <xf numFmtId="0" fontId="67" fillId="24" borderId="0" applyNumberFormat="0" applyBorder="0" applyAlignment="0" applyProtection="0">
      <alignment vertical="center"/>
    </xf>
    <xf numFmtId="0" fontId="69" fillId="25" borderId="0" applyNumberFormat="0" applyBorder="0" applyAlignment="0" applyProtection="0">
      <alignment vertical="center"/>
    </xf>
    <xf numFmtId="43" fontId="66" fillId="0" borderId="0" applyFont="0" applyFill="0" applyBorder="0" applyAlignment="0" applyProtection="0">
      <alignment vertical="center"/>
    </xf>
    <xf numFmtId="0" fontId="70" fillId="26" borderId="0" applyNumberFormat="0" applyBorder="0" applyAlignment="0" applyProtection="0">
      <alignment vertical="center"/>
    </xf>
    <xf numFmtId="0" fontId="71" fillId="0" borderId="0" applyNumberFormat="0" applyFill="0" applyBorder="0" applyAlignment="0" applyProtection="0">
      <alignment vertical="center"/>
    </xf>
    <xf numFmtId="9" fontId="0" fillId="0" borderId="0" applyFont="0" applyFill="0" applyBorder="0" applyAlignment="0" applyProtection="0">
      <alignment vertical="center"/>
    </xf>
    <xf numFmtId="0" fontId="72" fillId="0" borderId="0" applyNumberFormat="0" applyFill="0" applyBorder="0" applyAlignment="0" applyProtection="0">
      <alignment vertical="center"/>
    </xf>
    <xf numFmtId="0" fontId="66" fillId="27" borderId="40" applyNumberFormat="0" applyFont="0" applyAlignment="0" applyProtection="0">
      <alignment vertical="center"/>
    </xf>
    <xf numFmtId="0" fontId="70" fillId="28" borderId="0" applyNumberFormat="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77" fillId="0" borderId="41" applyNumberFormat="0" applyFill="0" applyAlignment="0" applyProtection="0">
      <alignment vertical="center"/>
    </xf>
    <xf numFmtId="0" fontId="78" fillId="0" borderId="41" applyNumberFormat="0" applyFill="0" applyAlignment="0" applyProtection="0">
      <alignment vertical="center"/>
    </xf>
    <xf numFmtId="0" fontId="70" fillId="29" borderId="0" applyNumberFormat="0" applyBorder="0" applyAlignment="0" applyProtection="0">
      <alignment vertical="center"/>
    </xf>
    <xf numFmtId="0" fontId="73" fillId="0" borderId="42" applyNumberFormat="0" applyFill="0" applyAlignment="0" applyProtection="0">
      <alignment vertical="center"/>
    </xf>
    <xf numFmtId="0" fontId="70" fillId="30" borderId="0" applyNumberFormat="0" applyBorder="0" applyAlignment="0" applyProtection="0">
      <alignment vertical="center"/>
    </xf>
    <xf numFmtId="0" fontId="79" fillId="31" borderId="43" applyNumberFormat="0" applyAlignment="0" applyProtection="0">
      <alignment vertical="center"/>
    </xf>
    <xf numFmtId="0" fontId="80" fillId="31" borderId="39" applyNumberFormat="0" applyAlignment="0" applyProtection="0">
      <alignment vertical="center"/>
    </xf>
    <xf numFmtId="0" fontId="81" fillId="32" borderId="44" applyNumberFormat="0" applyAlignment="0" applyProtection="0">
      <alignment vertical="center"/>
    </xf>
    <xf numFmtId="0" fontId="82" fillId="0" borderId="45" applyNumberFormat="0" applyFill="0" applyAlignment="0" applyProtection="0">
      <alignment vertical="center"/>
    </xf>
    <xf numFmtId="0" fontId="48" fillId="0" borderId="0"/>
    <xf numFmtId="0" fontId="67" fillId="33" borderId="0" applyNumberFormat="0" applyBorder="0" applyAlignment="0" applyProtection="0">
      <alignment vertical="center"/>
    </xf>
    <xf numFmtId="0" fontId="70" fillId="34" borderId="0" applyNumberFormat="0" applyBorder="0" applyAlignment="0" applyProtection="0">
      <alignment vertical="center"/>
    </xf>
    <xf numFmtId="0" fontId="83" fillId="0" borderId="46" applyNumberFormat="0" applyFill="0" applyAlignment="0" applyProtection="0">
      <alignment vertical="center"/>
    </xf>
    <xf numFmtId="0" fontId="0" fillId="0" borderId="0"/>
    <xf numFmtId="0" fontId="84" fillId="35" borderId="0" applyNumberFormat="0" applyBorder="0" applyAlignment="0" applyProtection="0">
      <alignment vertical="center"/>
    </xf>
    <xf numFmtId="0" fontId="85" fillId="36" borderId="0" applyNumberFormat="0" applyBorder="0" applyAlignment="0" applyProtection="0">
      <alignment vertical="center"/>
    </xf>
    <xf numFmtId="0" fontId="67" fillId="37" borderId="0" applyNumberFormat="0" applyBorder="0" applyAlignment="0" applyProtection="0">
      <alignment vertical="center"/>
    </xf>
    <xf numFmtId="0" fontId="70" fillId="38" borderId="0" applyNumberFormat="0" applyBorder="0" applyAlignment="0" applyProtection="0">
      <alignment vertical="center"/>
    </xf>
    <xf numFmtId="0" fontId="67" fillId="39" borderId="0" applyNumberFormat="0" applyBorder="0" applyAlignment="0" applyProtection="0">
      <alignment vertical="center"/>
    </xf>
    <xf numFmtId="0" fontId="67" fillId="40" borderId="0" applyNumberFormat="0" applyBorder="0" applyAlignment="0" applyProtection="0">
      <alignment vertical="center"/>
    </xf>
    <xf numFmtId="0" fontId="67" fillId="41" borderId="0" applyNumberFormat="0" applyBorder="0" applyAlignment="0" applyProtection="0">
      <alignment vertical="center"/>
    </xf>
    <xf numFmtId="0" fontId="67" fillId="42" borderId="0" applyNumberFormat="0" applyBorder="0" applyAlignment="0" applyProtection="0">
      <alignment vertical="center"/>
    </xf>
    <xf numFmtId="0" fontId="48" fillId="0" borderId="0"/>
    <xf numFmtId="0" fontId="48" fillId="0" borderId="0"/>
    <xf numFmtId="0" fontId="48" fillId="0" borderId="0"/>
    <xf numFmtId="0" fontId="70" fillId="43" borderId="0" applyNumberFormat="0" applyBorder="0" applyAlignment="0" applyProtection="0">
      <alignment vertical="center"/>
    </xf>
    <xf numFmtId="0" fontId="70" fillId="44" borderId="0" applyNumberFormat="0" applyBorder="0" applyAlignment="0" applyProtection="0">
      <alignment vertical="center"/>
    </xf>
    <xf numFmtId="0" fontId="67" fillId="45" borderId="0" applyNumberFormat="0" applyBorder="0" applyAlignment="0" applyProtection="0">
      <alignment vertical="center"/>
    </xf>
    <xf numFmtId="0" fontId="2" fillId="0" borderId="0">
      <alignment vertical="center"/>
    </xf>
    <xf numFmtId="0" fontId="67" fillId="5" borderId="0" applyNumberFormat="0" applyBorder="0" applyAlignment="0" applyProtection="0">
      <alignment vertical="center"/>
    </xf>
    <xf numFmtId="0" fontId="70" fillId="46" borderId="0" applyNumberFormat="0" applyBorder="0" applyAlignment="0" applyProtection="0">
      <alignment vertical="center"/>
    </xf>
    <xf numFmtId="0" fontId="48" fillId="0" borderId="0"/>
    <xf numFmtId="0" fontId="67" fillId="47" borderId="0" applyNumberFormat="0" applyBorder="0" applyAlignment="0" applyProtection="0">
      <alignment vertical="center"/>
    </xf>
    <xf numFmtId="0" fontId="0" fillId="0" borderId="0"/>
    <xf numFmtId="0" fontId="70" fillId="48" borderId="0" applyNumberFormat="0" applyBorder="0" applyAlignment="0" applyProtection="0">
      <alignment vertical="center"/>
    </xf>
    <xf numFmtId="0" fontId="70" fillId="49" borderId="0" applyNumberFormat="0" applyBorder="0" applyAlignment="0" applyProtection="0">
      <alignment vertical="center"/>
    </xf>
    <xf numFmtId="0" fontId="67" fillId="50" borderId="0" applyNumberFormat="0" applyBorder="0" applyAlignment="0" applyProtection="0">
      <alignment vertical="center"/>
    </xf>
    <xf numFmtId="0" fontId="70" fillId="51" borderId="0" applyNumberFormat="0" applyBorder="0" applyAlignment="0" applyProtection="0">
      <alignment vertical="center"/>
    </xf>
    <xf numFmtId="0" fontId="0" fillId="0" borderId="0">
      <alignment vertical="center"/>
    </xf>
    <xf numFmtId="0" fontId="0" fillId="0" borderId="0"/>
    <xf numFmtId="0" fontId="0" fillId="0" borderId="0"/>
    <xf numFmtId="0" fontId="48" fillId="0" borderId="0"/>
    <xf numFmtId="0" fontId="0" fillId="0" borderId="0"/>
    <xf numFmtId="0" fontId="48" fillId="0" borderId="0"/>
    <xf numFmtId="0" fontId="0" fillId="0" borderId="0"/>
    <xf numFmtId="0" fontId="48" fillId="0" borderId="0"/>
    <xf numFmtId="0" fontId="48" fillId="0" borderId="0"/>
    <xf numFmtId="0" fontId="48" fillId="0" borderId="0"/>
    <xf numFmtId="0" fontId="0" fillId="0" borderId="0"/>
    <xf numFmtId="0" fontId="0" fillId="0" borderId="0"/>
    <xf numFmtId="0" fontId="48" fillId="0" borderId="0"/>
    <xf numFmtId="0" fontId="48" fillId="0" borderId="0"/>
    <xf numFmtId="0" fontId="0" fillId="0" borderId="0"/>
    <xf numFmtId="43" fontId="0" fillId="0" borderId="0" applyFont="0" applyFill="0" applyBorder="0" applyAlignment="0" applyProtection="0">
      <alignment vertical="center"/>
    </xf>
  </cellStyleXfs>
  <cellXfs count="1152">
    <xf numFmtId="0" fontId="0" fillId="0" borderId="0" xfId="0">
      <alignment vertical="center"/>
    </xf>
    <xf numFmtId="0" fontId="1" fillId="0" borderId="0" xfId="0" applyFont="1" applyFill="1" applyAlignment="1" applyProtection="1">
      <alignment vertical="center"/>
    </xf>
    <xf numFmtId="0" fontId="1" fillId="0" borderId="0" xfId="0" applyFont="1" applyFill="1" applyAlignment="1" applyProtection="1"/>
    <xf numFmtId="0" fontId="1" fillId="0" borderId="0" xfId="0" applyFont="1" applyFill="1" applyAlignment="1" applyProtection="1">
      <alignment horizontal="center"/>
    </xf>
    <xf numFmtId="0" fontId="2" fillId="0" borderId="0" xfId="0" applyFont="1" applyFill="1" applyAlignment="1" applyProtection="1"/>
    <xf numFmtId="0" fontId="2" fillId="0" borderId="0" xfId="0" applyFont="1" applyFill="1" applyBorder="1" applyAlignment="1" applyProtection="1"/>
    <xf numFmtId="0" fontId="1" fillId="0" borderId="0" xfId="0" applyFont="1" applyFill="1" applyBorder="1" applyAlignment="1" applyProtection="1">
      <alignment horizontal="center"/>
    </xf>
    <xf numFmtId="0" fontId="1" fillId="0" borderId="0" xfId="0" applyFont="1" applyFill="1" applyBorder="1" applyAlignment="1" applyProtection="1"/>
    <xf numFmtId="0" fontId="2" fillId="2" borderId="1"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1" fillId="0" borderId="7" xfId="0" applyFont="1" applyFill="1" applyBorder="1" applyAlignment="1" applyProtection="1">
      <alignment horizontal="center"/>
    </xf>
    <xf numFmtId="178" fontId="1" fillId="0" borderId="7" xfId="0" applyNumberFormat="1" applyFont="1" applyFill="1" applyBorder="1" applyAlignment="1" applyProtection="1">
      <alignment horizontal="right"/>
      <protection locked="0"/>
    </xf>
    <xf numFmtId="178" fontId="1" fillId="3" borderId="7" xfId="0" applyNumberFormat="1" applyFont="1" applyFill="1" applyBorder="1" applyAlignment="1" applyProtection="1">
      <alignment horizontal="right"/>
    </xf>
    <xf numFmtId="178" fontId="1" fillId="0" borderId="7" xfId="0" applyNumberFormat="1" applyFont="1" applyFill="1" applyBorder="1" applyAlignment="1" applyProtection="1">
      <alignment horizontal="right"/>
    </xf>
    <xf numFmtId="176" fontId="1" fillId="0" borderId="7" xfId="0" applyNumberFormat="1" applyFont="1" applyFill="1" applyBorder="1" applyAlignment="1" applyProtection="1">
      <alignment horizontal="center"/>
    </xf>
    <xf numFmtId="0" fontId="2" fillId="0" borderId="0" xfId="0" applyFont="1" applyFill="1" applyBorder="1" applyAlignment="1" applyProtection="1">
      <alignment horizontal="left"/>
    </xf>
    <xf numFmtId="178" fontId="1" fillId="0" borderId="0" xfId="0" applyNumberFormat="1" applyFont="1" applyFill="1" applyBorder="1" applyAlignment="1" applyProtection="1">
      <alignment horizontal="right"/>
    </xf>
    <xf numFmtId="0" fontId="2" fillId="0" borderId="0" xfId="0" applyFont="1" applyFill="1" applyAlignment="1" applyProtection="1">
      <alignment horizontal="left"/>
    </xf>
    <xf numFmtId="0" fontId="2" fillId="0" borderId="0" xfId="0" applyFont="1" applyFill="1" applyBorder="1" applyAlignment="1" applyProtection="1">
      <alignment horizontal="right"/>
    </xf>
    <xf numFmtId="0" fontId="1" fillId="2" borderId="7" xfId="0" applyFont="1" applyFill="1" applyBorder="1" applyAlignment="1" applyProtection="1">
      <alignment horizontal="center" vertical="center"/>
    </xf>
    <xf numFmtId="0" fontId="2" fillId="2" borderId="1"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6" xfId="0" applyFont="1" applyFill="1" applyBorder="1" applyAlignment="1" applyProtection="1">
      <alignment horizontal="center" vertical="center" wrapText="1"/>
    </xf>
    <xf numFmtId="0" fontId="1" fillId="0" borderId="0" xfId="0" applyFont="1" applyFill="1" applyBorder="1" applyAlignment="1" applyProtection="1">
      <alignment vertical="center"/>
    </xf>
    <xf numFmtId="0" fontId="2" fillId="4" borderId="7" xfId="0" applyFont="1" applyFill="1" applyBorder="1" applyAlignment="1" applyProtection="1">
      <alignment horizontal="center"/>
    </xf>
    <xf numFmtId="0" fontId="1" fillId="4" borderId="7" xfId="0" applyFont="1" applyFill="1" applyBorder="1" applyAlignment="1" applyProtection="1">
      <alignment horizontal="center"/>
    </xf>
    <xf numFmtId="0" fontId="1" fillId="0" borderId="1" xfId="0" applyNumberFormat="1" applyFont="1" applyFill="1" applyBorder="1" applyAlignment="1" applyProtection="1">
      <alignment horizontal="center" vertical="center"/>
      <protection locked="0"/>
    </xf>
    <xf numFmtId="0" fontId="2" fillId="3" borderId="4" xfId="0" applyFont="1" applyFill="1" applyBorder="1" applyAlignment="1" applyProtection="1">
      <alignment horizontal="center"/>
    </xf>
    <xf numFmtId="178" fontId="1" fillId="0" borderId="7" xfId="0" applyNumberFormat="1" applyFont="1" applyFill="1" applyBorder="1" applyAlignment="1" applyProtection="1">
      <protection locked="0"/>
    </xf>
    <xf numFmtId="178" fontId="1" fillId="3" borderId="7" xfId="0" applyNumberFormat="1" applyFont="1" applyFill="1" applyBorder="1" applyAlignment="1" applyProtection="1"/>
    <xf numFmtId="0" fontId="1" fillId="0" borderId="5"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xf>
    <xf numFmtId="0" fontId="1" fillId="0" borderId="6" xfId="0" applyNumberFormat="1"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1" fillId="3" borderId="5" xfId="0" applyFont="1" applyFill="1" applyBorder="1" applyAlignment="1" applyProtection="1">
      <alignment horizontal="center" vertical="center"/>
      <protection locked="0"/>
    </xf>
    <xf numFmtId="0" fontId="1" fillId="0" borderId="7" xfId="0" applyNumberFormat="1" applyFont="1" applyFill="1" applyBorder="1" applyAlignment="1" applyProtection="1">
      <alignment horizontal="center"/>
    </xf>
    <xf numFmtId="0" fontId="1" fillId="3" borderId="6" xfId="0" applyFont="1" applyFill="1" applyBorder="1" applyAlignment="1" applyProtection="1">
      <alignment horizontal="center" vertical="center"/>
      <protection locked="0"/>
    </xf>
    <xf numFmtId="0" fontId="2" fillId="3" borderId="7" xfId="0" applyFont="1" applyFill="1" applyBorder="1" applyAlignment="1" applyProtection="1">
      <alignment horizontal="center"/>
    </xf>
    <xf numFmtId="176" fontId="1" fillId="3" borderId="7" xfId="0" applyNumberFormat="1" applyFont="1" applyFill="1" applyBorder="1" applyAlignment="1" applyProtection="1">
      <alignment horizontal="center"/>
    </xf>
    <xf numFmtId="0" fontId="1" fillId="0" borderId="0" xfId="0" applyFont="1" applyFill="1" applyAlignment="1" applyProtection="1">
      <alignment horizontal="center" vertical="center" wrapText="1"/>
    </xf>
    <xf numFmtId="0" fontId="2" fillId="2" borderId="7" xfId="0" applyFont="1" applyFill="1" applyBorder="1" applyAlignment="1" applyProtection="1">
      <alignment horizontal="center" vertical="center" wrapText="1"/>
    </xf>
    <xf numFmtId="0" fontId="1" fillId="2" borderId="7" xfId="0" applyFont="1" applyFill="1" applyBorder="1" applyAlignment="1" applyProtection="1">
      <alignment horizontal="center"/>
    </xf>
    <xf numFmtId="2" fontId="1" fillId="0" borderId="7" xfId="0" applyNumberFormat="1" applyFont="1" applyFill="1" applyBorder="1" applyAlignment="1" applyProtection="1">
      <alignment horizontal="right"/>
    </xf>
    <xf numFmtId="0" fontId="2" fillId="2" borderId="7" xfId="0" applyFont="1" applyFill="1" applyBorder="1" applyAlignment="1" applyProtection="1">
      <alignment horizontal="center"/>
    </xf>
    <xf numFmtId="178" fontId="1" fillId="2" borderId="7" xfId="12" applyNumberFormat="1" applyFont="1" applyFill="1" applyBorder="1" applyAlignment="1" applyProtection="1">
      <alignment horizontal="right"/>
    </xf>
    <xf numFmtId="0" fontId="2" fillId="2" borderId="7" xfId="0" applyNumberFormat="1" applyFont="1" applyFill="1" applyBorder="1" applyAlignment="1" applyProtection="1">
      <alignment horizontal="center" vertical="center" wrapText="1"/>
    </xf>
    <xf numFmtId="176" fontId="1" fillId="0" borderId="7" xfId="12" applyNumberFormat="1" applyFont="1" applyFill="1" applyBorder="1" applyAlignment="1" applyProtection="1">
      <alignment horizontal="center"/>
    </xf>
    <xf numFmtId="178" fontId="1" fillId="2" borderId="7" xfId="0" applyNumberFormat="1" applyFont="1" applyFill="1" applyBorder="1" applyAlignment="1" applyProtection="1">
      <alignment horizontal="right"/>
    </xf>
    <xf numFmtId="176" fontId="1" fillId="2" borderId="7" xfId="0" applyNumberFormat="1" applyFont="1" applyFill="1" applyBorder="1" applyAlignment="1" applyProtection="1">
      <alignment horizontal="center"/>
    </xf>
    <xf numFmtId="176" fontId="1" fillId="2" borderId="7" xfId="12" applyNumberFormat="1" applyFont="1" applyFill="1" applyBorder="1" applyAlignment="1" applyProtection="1">
      <alignment horizontal="center"/>
    </xf>
    <xf numFmtId="2" fontId="1" fillId="0" borderId="7" xfId="0" applyNumberFormat="1" applyFont="1" applyFill="1" applyBorder="1" applyAlignment="1" applyProtection="1">
      <protection locked="0"/>
    </xf>
    <xf numFmtId="176" fontId="1" fillId="0" borderId="0" xfId="0" applyNumberFormat="1" applyFont="1" applyFill="1" applyBorder="1" applyAlignment="1" applyProtection="1">
      <alignment horizontal="center"/>
    </xf>
    <xf numFmtId="2" fontId="1" fillId="2" borderId="7" xfId="0" applyNumberFormat="1" applyFont="1" applyFill="1" applyBorder="1" applyAlignment="1" applyProtection="1">
      <alignment horizontal="center"/>
    </xf>
    <xf numFmtId="0" fontId="2" fillId="0" borderId="7" xfId="0" applyFont="1" applyFill="1" applyBorder="1" applyAlignment="1" applyProtection="1">
      <alignment horizontal="center"/>
    </xf>
    <xf numFmtId="179" fontId="1" fillId="0" borderId="7" xfId="0" applyNumberFormat="1" applyFont="1" applyFill="1" applyBorder="1" applyAlignment="1" applyProtection="1">
      <alignment horizontal="center"/>
    </xf>
    <xf numFmtId="0" fontId="2" fillId="0" borderId="0" xfId="0" applyFont="1" applyFill="1" applyAlignment="1" applyProtection="1">
      <alignment horizontal="right"/>
    </xf>
    <xf numFmtId="178" fontId="1" fillId="0" borderId="0" xfId="0" applyNumberFormat="1" applyFont="1" applyFill="1" applyAlignment="1" applyProtection="1">
      <alignment horizontal="right"/>
    </xf>
    <xf numFmtId="180" fontId="1" fillId="0" borderId="0" xfId="0" applyNumberFormat="1" applyFont="1" applyFill="1" applyAlignment="1" applyProtection="1">
      <alignment horizontal="right"/>
    </xf>
    <xf numFmtId="0" fontId="1" fillId="0" borderId="7" xfId="0" applyFont="1" applyFill="1" applyBorder="1" applyAlignment="1" applyProtection="1"/>
    <xf numFmtId="0" fontId="2" fillId="0" borderId="0" xfId="0" applyFont="1" applyFill="1" applyAlignment="1" applyProtection="1">
      <alignment horizontal="center"/>
    </xf>
    <xf numFmtId="0" fontId="2" fillId="0" borderId="0" xfId="0" applyFont="1" applyFill="1" applyBorder="1" applyAlignment="1" applyProtection="1">
      <alignment horizontal="center"/>
    </xf>
    <xf numFmtId="2" fontId="1" fillId="0" borderId="7" xfId="0" applyNumberFormat="1" applyFont="1" applyFill="1" applyBorder="1" applyAlignment="1" applyProtection="1">
      <alignment horizontal="center"/>
    </xf>
    <xf numFmtId="0" fontId="2" fillId="2" borderId="7" xfId="0" applyFont="1" applyFill="1" applyBorder="1" applyAlignment="1" applyProtection="1">
      <alignment horizontal="center" vertical="center"/>
      <protection hidden="1"/>
    </xf>
    <xf numFmtId="0" fontId="1" fillId="2" borderId="7" xfId="0" applyFont="1" applyFill="1" applyBorder="1" applyAlignment="1" applyProtection="1">
      <alignment horizontal="center" vertical="center"/>
      <protection hidden="1"/>
    </xf>
    <xf numFmtId="0" fontId="2" fillId="3" borderId="7" xfId="0" applyFont="1" applyFill="1" applyBorder="1" applyAlignment="1" applyProtection="1">
      <alignment horizontal="center"/>
      <protection hidden="1"/>
    </xf>
    <xf numFmtId="2" fontId="1" fillId="3" borderId="7" xfId="0" applyNumberFormat="1" applyFont="1" applyFill="1" applyBorder="1" applyAlignment="1" applyProtection="1">
      <alignment horizontal="right"/>
      <protection hidden="1"/>
    </xf>
    <xf numFmtId="178" fontId="1" fillId="3" borderId="7" xfId="0" applyNumberFormat="1" applyFont="1" applyFill="1" applyBorder="1" applyAlignment="1" applyProtection="1">
      <alignment horizontal="right"/>
      <protection hidden="1"/>
    </xf>
    <xf numFmtId="0" fontId="2" fillId="0" borderId="7" xfId="0" applyFont="1" applyFill="1" applyBorder="1" applyAlignment="1" applyProtection="1">
      <alignment horizontal="center"/>
      <protection hidden="1"/>
    </xf>
    <xf numFmtId="178" fontId="1" fillId="0" borderId="7" xfId="0" applyNumberFormat="1" applyFont="1" applyFill="1" applyBorder="1" applyAlignment="1" applyProtection="1">
      <alignment horizontal="right"/>
      <protection hidden="1"/>
    </xf>
    <xf numFmtId="0" fontId="1" fillId="0" borderId="7" xfId="0" applyNumberFormat="1" applyFont="1" applyFill="1" applyBorder="1" applyAlignment="1" applyProtection="1">
      <alignment horizontal="center"/>
      <protection hidden="1"/>
    </xf>
    <xf numFmtId="176" fontId="1" fillId="0" borderId="7" xfId="0" applyNumberFormat="1" applyFont="1" applyFill="1" applyBorder="1" applyAlignment="1" applyProtection="1">
      <alignment horizontal="center"/>
      <protection hidden="1"/>
    </xf>
    <xf numFmtId="176" fontId="1" fillId="3" borderId="7" xfId="0" applyNumberFormat="1" applyFont="1" applyFill="1" applyBorder="1" applyAlignment="1" applyProtection="1">
      <alignment horizontal="center"/>
      <protection hidden="1"/>
    </xf>
    <xf numFmtId="0" fontId="2" fillId="0" borderId="0" xfId="0" applyFont="1" applyFill="1" applyAlignment="1" applyProtection="1">
      <protection hidden="1"/>
    </xf>
    <xf numFmtId="0" fontId="1" fillId="0" borderId="0" xfId="0" applyFont="1" applyFill="1" applyAlignment="1" applyProtection="1">
      <alignment horizontal="center"/>
      <protection hidden="1"/>
    </xf>
    <xf numFmtId="0" fontId="1" fillId="0" borderId="0" xfId="0" applyFont="1" applyFill="1" applyAlignment="1" applyProtection="1">
      <protection hidden="1"/>
    </xf>
    <xf numFmtId="0" fontId="1" fillId="0" borderId="0" xfId="0" applyFont="1" applyFill="1" applyBorder="1" applyAlignment="1" applyProtection="1">
      <alignment horizontal="center"/>
      <protection hidden="1"/>
    </xf>
    <xf numFmtId="0" fontId="2" fillId="0" borderId="0" xfId="0" applyFont="1" applyFill="1" applyBorder="1" applyAlignment="1" applyProtection="1">
      <protection hidden="1"/>
    </xf>
    <xf numFmtId="0" fontId="1" fillId="0" borderId="0" xfId="0" applyFont="1" applyFill="1" applyBorder="1" applyAlignment="1" applyProtection="1">
      <protection hidden="1"/>
    </xf>
    <xf numFmtId="0" fontId="2" fillId="2" borderId="7" xfId="0" applyFont="1" applyFill="1" applyBorder="1" applyAlignment="1" applyProtection="1">
      <alignment horizontal="center" vertical="center" wrapText="1"/>
      <protection hidden="1"/>
    </xf>
    <xf numFmtId="0" fontId="2" fillId="3" borderId="7" xfId="0" applyFont="1" applyFill="1" applyBorder="1" applyAlignment="1" applyProtection="1">
      <alignment horizontal="right"/>
      <protection hidden="1"/>
    </xf>
    <xf numFmtId="179" fontId="1" fillId="0" borderId="7" xfId="0" applyNumberFormat="1" applyFont="1" applyFill="1" applyBorder="1" applyAlignment="1" applyProtection="1">
      <alignment horizontal="center"/>
      <protection hidden="1"/>
    </xf>
    <xf numFmtId="178" fontId="1" fillId="0" borderId="0" xfId="0" applyNumberFormat="1" applyFont="1" applyFill="1" applyBorder="1" applyAlignment="1" applyProtection="1">
      <alignment horizontal="right"/>
      <protection hidden="1"/>
    </xf>
    <xf numFmtId="0" fontId="1" fillId="0" borderId="8" xfId="0" applyFont="1" applyFill="1" applyBorder="1" applyAlignment="1" applyProtection="1">
      <alignment horizontal="right"/>
      <protection hidden="1"/>
    </xf>
    <xf numFmtId="0" fontId="1" fillId="0" borderId="0" xfId="0" applyFont="1" applyFill="1" applyAlignment="1" applyProtection="1">
      <alignment horizontal="right"/>
      <protection hidden="1"/>
    </xf>
    <xf numFmtId="176" fontId="1" fillId="0" borderId="0" xfId="0" applyNumberFormat="1" applyFont="1" applyFill="1" applyBorder="1" applyAlignment="1" applyProtection="1">
      <alignment horizontal="center"/>
      <protection hidden="1"/>
    </xf>
    <xf numFmtId="0" fontId="1" fillId="0" borderId="0" xfId="0" applyFont="1" applyFill="1" applyAlignment="1" applyProtection="1">
      <alignment vertical="center"/>
      <protection hidden="1"/>
    </xf>
    <xf numFmtId="0" fontId="3"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181" fontId="3" fillId="0" borderId="0" xfId="0" applyNumberFormat="1" applyFont="1" applyFill="1" applyAlignment="1" applyProtection="1">
      <alignment vertical="center"/>
      <protection locked="0"/>
    </xf>
    <xf numFmtId="0" fontId="3" fillId="0" borderId="0" xfId="0" applyNumberFormat="1"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0" fillId="0" borderId="0" xfId="0" applyFill="1" applyAlignment="1" applyProtection="1">
      <alignment vertical="center"/>
      <protection locked="0"/>
    </xf>
    <xf numFmtId="0" fontId="5" fillId="5" borderId="0" xfId="0" applyFont="1" applyFill="1" applyAlignment="1" applyProtection="1">
      <alignment horizontal="center" vertical="center"/>
    </xf>
    <xf numFmtId="181" fontId="5" fillId="5" borderId="0" xfId="0" applyNumberFormat="1" applyFont="1" applyFill="1" applyAlignment="1" applyProtection="1">
      <alignment horizontal="center" vertical="center"/>
    </xf>
    <xf numFmtId="0" fontId="5" fillId="5" borderId="0" xfId="0" applyNumberFormat="1" applyFont="1" applyFill="1" applyAlignment="1" applyProtection="1">
      <alignment horizontal="center" vertical="center"/>
    </xf>
    <xf numFmtId="0" fontId="6" fillId="0" borderId="0" xfId="0" applyFont="1" applyFill="1" applyAlignment="1" applyProtection="1">
      <alignment horizontal="left"/>
      <protection locked="0"/>
    </xf>
    <xf numFmtId="182" fontId="6" fillId="0" borderId="0" xfId="0" applyNumberFormat="1" applyFont="1" applyFill="1" applyAlignment="1" applyProtection="1">
      <alignment horizontal="center"/>
      <protection locked="0"/>
    </xf>
    <xf numFmtId="0" fontId="6" fillId="0" borderId="0" xfId="0" applyNumberFormat="1" applyFont="1" applyFill="1" applyAlignment="1" applyProtection="1">
      <alignment horizontal="right"/>
      <protection locked="0"/>
    </xf>
    <xf numFmtId="0" fontId="7" fillId="6" borderId="7" xfId="0" applyFont="1" applyFill="1" applyBorder="1" applyAlignment="1" applyProtection="1">
      <alignment horizontal="center" vertical="center"/>
    </xf>
    <xf numFmtId="0" fontId="7" fillId="6" borderId="2" xfId="0" applyFont="1" applyFill="1" applyBorder="1" applyAlignment="1" applyProtection="1">
      <alignment horizontal="center" vertical="center"/>
    </xf>
    <xf numFmtId="181" fontId="7" fillId="6" borderId="2" xfId="0" applyNumberFormat="1" applyFont="1" applyFill="1" applyBorder="1" applyAlignment="1" applyProtection="1">
      <alignment horizontal="center" vertical="center" wrapText="1"/>
    </xf>
    <xf numFmtId="181" fontId="7" fillId="6" borderId="7" xfId="0" applyNumberFormat="1" applyFont="1" applyFill="1" applyBorder="1" applyAlignment="1" applyProtection="1">
      <alignment horizontal="center" vertical="center" wrapText="1"/>
    </xf>
    <xf numFmtId="0" fontId="7" fillId="6" borderId="4" xfId="0" applyNumberFormat="1" applyFont="1" applyFill="1" applyBorder="1" applyAlignment="1" applyProtection="1">
      <alignment horizontal="center" vertical="center"/>
    </xf>
    <xf numFmtId="0" fontId="7" fillId="6" borderId="7" xfId="0" applyNumberFormat="1" applyFont="1" applyFill="1" applyBorder="1" applyAlignment="1" applyProtection="1">
      <alignment horizontal="center" vertical="center"/>
    </xf>
    <xf numFmtId="181" fontId="7" fillId="6" borderId="0" xfId="0" applyNumberFormat="1" applyFont="1" applyFill="1" applyAlignment="1" applyProtection="1">
      <alignment horizontal="center" vertical="center" wrapText="1"/>
    </xf>
    <xf numFmtId="0" fontId="7" fillId="6" borderId="7" xfId="0" applyFont="1" applyFill="1" applyBorder="1" applyAlignment="1" applyProtection="1">
      <alignment vertical="center"/>
      <protection locked="0"/>
    </xf>
    <xf numFmtId="0" fontId="8" fillId="6" borderId="2" xfId="0" applyFont="1" applyFill="1" applyBorder="1" applyAlignment="1" applyProtection="1">
      <alignment vertical="center"/>
      <protection locked="0"/>
    </xf>
    <xf numFmtId="181" fontId="8" fillId="6" borderId="7" xfId="0" applyNumberFormat="1" applyFont="1" applyFill="1" applyBorder="1" applyAlignment="1" applyProtection="1">
      <alignment horizontal="right" vertical="center"/>
      <protection locked="0"/>
    </xf>
    <xf numFmtId="181" fontId="9" fillId="6" borderId="7" xfId="0" applyNumberFormat="1" applyFont="1" applyFill="1" applyBorder="1" applyAlignment="1" applyProtection="1">
      <alignment horizontal="right" vertical="center"/>
      <protection locked="0"/>
    </xf>
    <xf numFmtId="181" fontId="9" fillId="6" borderId="6" xfId="0" applyNumberFormat="1" applyFont="1" applyFill="1" applyBorder="1" applyAlignment="1" applyProtection="1">
      <alignment horizontal="right" vertical="center"/>
      <protection locked="0"/>
    </xf>
    <xf numFmtId="0" fontId="8" fillId="6" borderId="7" xfId="0" applyNumberFormat="1" applyFont="1" applyFill="1" applyBorder="1" applyAlignment="1" applyProtection="1">
      <alignment horizontal="center" vertical="center"/>
      <protection locked="0"/>
    </xf>
    <xf numFmtId="9" fontId="8" fillId="6" borderId="7" xfId="0" applyNumberFormat="1" applyFont="1" applyFill="1" applyBorder="1" applyAlignment="1" applyProtection="1">
      <alignment horizontal="center" vertical="center"/>
      <protection locked="0"/>
    </xf>
    <xf numFmtId="0" fontId="10" fillId="6" borderId="7" xfId="0" applyFont="1" applyFill="1" applyBorder="1" applyAlignment="1" applyProtection="1">
      <alignment vertical="center"/>
      <protection locked="0"/>
    </xf>
    <xf numFmtId="0" fontId="8" fillId="6" borderId="2" xfId="0" applyFont="1" applyFill="1" applyBorder="1" applyAlignment="1" applyProtection="1">
      <alignment vertical="center" wrapText="1"/>
      <protection locked="0"/>
    </xf>
    <xf numFmtId="181" fontId="8" fillId="7" borderId="7" xfId="0" applyNumberFormat="1" applyFont="1" applyFill="1" applyBorder="1" applyAlignment="1" applyProtection="1">
      <alignment horizontal="right" vertical="center" wrapText="1"/>
      <protection locked="0"/>
    </xf>
    <xf numFmtId="181" fontId="8" fillId="7" borderId="7" xfId="0" applyNumberFormat="1" applyFont="1" applyFill="1" applyBorder="1" applyAlignment="1" applyProtection="1">
      <alignment horizontal="right" vertical="center"/>
      <protection locked="0"/>
    </xf>
    <xf numFmtId="43" fontId="8" fillId="0" borderId="7" xfId="0" applyNumberFormat="1" applyFont="1" applyFill="1" applyBorder="1" applyAlignment="1" applyProtection="1">
      <alignment horizontal="center" vertical="center"/>
      <protection locked="0"/>
    </xf>
    <xf numFmtId="43" fontId="8" fillId="7" borderId="7" xfId="0" applyNumberFormat="1" applyFont="1" applyFill="1" applyBorder="1" applyAlignment="1" applyProtection="1">
      <alignment horizontal="center" vertical="center"/>
      <protection locked="0"/>
    </xf>
    <xf numFmtId="0" fontId="11" fillId="6" borderId="7" xfId="0" applyFont="1" applyFill="1" applyBorder="1" applyAlignment="1" applyProtection="1">
      <alignment vertical="center"/>
      <protection locked="0"/>
    </xf>
    <xf numFmtId="181" fontId="8" fillId="6" borderId="7" xfId="0" applyNumberFormat="1" applyFont="1" applyFill="1" applyBorder="1" applyAlignment="1" applyProtection="1">
      <alignment horizontal="right" vertical="center" wrapText="1"/>
      <protection locked="0"/>
    </xf>
    <xf numFmtId="43" fontId="8" fillId="6" borderId="7" xfId="0" applyNumberFormat="1" applyFont="1" applyFill="1" applyBorder="1" applyAlignment="1" applyProtection="1">
      <alignment horizontal="center" vertical="center"/>
      <protection locked="0"/>
    </xf>
    <xf numFmtId="0" fontId="11" fillId="6" borderId="1" xfId="0" applyFont="1" applyFill="1" applyBorder="1" applyAlignment="1" applyProtection="1">
      <alignment vertical="center"/>
      <protection locked="0"/>
    </xf>
    <xf numFmtId="0" fontId="8" fillId="6" borderId="9" xfId="0" applyFont="1" applyFill="1" applyBorder="1" applyAlignment="1" applyProtection="1">
      <alignment vertical="center" wrapText="1"/>
      <protection locked="0"/>
    </xf>
    <xf numFmtId="181" fontId="8" fillId="0" borderId="1" xfId="0" applyNumberFormat="1" applyFont="1" applyFill="1" applyBorder="1" applyAlignment="1" applyProtection="1">
      <alignment horizontal="right" vertical="center" wrapText="1"/>
      <protection locked="0"/>
    </xf>
    <xf numFmtId="0" fontId="7" fillId="6" borderId="7" xfId="0" applyFont="1" applyFill="1" applyBorder="1" applyAlignment="1" applyProtection="1">
      <alignment horizontal="center" vertical="center"/>
      <protection locked="0"/>
    </xf>
    <xf numFmtId="0" fontId="8" fillId="6" borderId="7" xfId="0" applyFont="1" applyFill="1" applyBorder="1" applyAlignment="1" applyProtection="1">
      <alignment vertical="center" wrapText="1"/>
      <protection locked="0"/>
    </xf>
    <xf numFmtId="181" fontId="9" fillId="6" borderId="4" xfId="0" applyNumberFormat="1" applyFont="1" applyFill="1" applyBorder="1" applyAlignment="1" applyProtection="1">
      <alignment horizontal="right" vertical="center"/>
      <protection locked="0"/>
    </xf>
    <xf numFmtId="0" fontId="8" fillId="7" borderId="7" xfId="0" applyNumberFormat="1" applyFont="1" applyFill="1" applyBorder="1" applyAlignment="1" applyProtection="1">
      <alignment horizontal="center" vertical="center"/>
      <protection locked="0"/>
    </xf>
    <xf numFmtId="0" fontId="8" fillId="6" borderId="7" xfId="0" applyFont="1" applyFill="1" applyBorder="1" applyAlignment="1" applyProtection="1">
      <alignment horizontal="center" vertical="center"/>
      <protection locked="0"/>
    </xf>
    <xf numFmtId="0" fontId="8" fillId="6" borderId="7" xfId="0" applyFont="1" applyFill="1" applyBorder="1" applyAlignment="1" applyProtection="1">
      <alignment vertical="center"/>
      <protection locked="0"/>
    </xf>
    <xf numFmtId="43" fontId="8" fillId="0" borderId="7" xfId="0" applyNumberFormat="1" applyFont="1" applyFill="1" applyBorder="1" applyAlignment="1" applyProtection="1">
      <alignment vertical="center"/>
      <protection locked="0"/>
    </xf>
    <xf numFmtId="0" fontId="8" fillId="7" borderId="7" xfId="0" applyFont="1" applyFill="1" applyBorder="1" applyAlignment="1" applyProtection="1">
      <alignment horizontal="center" vertical="center"/>
      <protection locked="0"/>
    </xf>
    <xf numFmtId="43" fontId="8" fillId="7" borderId="7" xfId="0" applyNumberFormat="1" applyFont="1" applyFill="1" applyBorder="1" applyAlignment="1" applyProtection="1">
      <alignment vertical="center"/>
      <protection locked="0"/>
    </xf>
    <xf numFmtId="43" fontId="8" fillId="6" borderId="7" xfId="0" applyNumberFormat="1" applyFont="1" applyFill="1" applyBorder="1" applyAlignment="1" applyProtection="1">
      <alignment vertical="center"/>
      <protection locked="0"/>
    </xf>
    <xf numFmtId="0" fontId="6" fillId="0" borderId="7"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locked="0"/>
    </xf>
    <xf numFmtId="0" fontId="8" fillId="8" borderId="7" xfId="0" applyFont="1" applyFill="1" applyBorder="1" applyAlignment="1" applyProtection="1">
      <alignment horizontal="left" vertical="center"/>
      <protection locked="0"/>
    </xf>
    <xf numFmtId="0" fontId="4" fillId="0" borderId="0" xfId="0" applyFont="1" applyFill="1" applyAlignment="1" applyProtection="1">
      <alignment vertical="center"/>
      <protection locked="0"/>
    </xf>
    <xf numFmtId="0" fontId="8" fillId="6" borderId="7" xfId="0" applyFont="1" applyFill="1" applyBorder="1" applyAlignment="1" applyProtection="1">
      <alignment horizontal="left" vertical="center"/>
      <protection locked="0"/>
    </xf>
    <xf numFmtId="0" fontId="12" fillId="0" borderId="0" xfId="58" applyFont="1" applyFill="1">
      <alignment vertical="center"/>
    </xf>
    <xf numFmtId="0" fontId="12" fillId="0" borderId="0" xfId="58" applyFont="1">
      <alignment vertical="center"/>
    </xf>
    <xf numFmtId="0" fontId="5" fillId="5" borderId="0" xfId="58" applyFont="1" applyFill="1" applyAlignment="1">
      <alignment horizontal="center" vertical="center"/>
    </xf>
    <xf numFmtId="0" fontId="13" fillId="0" borderId="0" xfId="58" applyFont="1" applyAlignment="1">
      <alignment horizontal="center" vertical="center"/>
    </xf>
    <xf numFmtId="0" fontId="12" fillId="9" borderId="0" xfId="58" applyFont="1" applyFill="1">
      <alignment vertical="center"/>
    </xf>
    <xf numFmtId="0" fontId="14" fillId="9" borderId="0" xfId="58" applyFont="1" applyFill="1">
      <alignment vertical="center"/>
    </xf>
    <xf numFmtId="0" fontId="8" fillId="10" borderId="7" xfId="58" applyFont="1" applyFill="1" applyBorder="1" applyAlignment="1">
      <alignment horizontal="center" vertical="center"/>
    </xf>
    <xf numFmtId="0" fontId="8" fillId="0" borderId="7" xfId="58" applyNumberFormat="1" applyFont="1" applyFill="1" applyBorder="1" applyAlignment="1">
      <alignment vertical="center"/>
    </xf>
    <xf numFmtId="0" fontId="8" fillId="0" borderId="0" xfId="58" applyFont="1" applyFill="1">
      <alignment vertical="center"/>
    </xf>
    <xf numFmtId="9" fontId="8" fillId="0" borderId="7" xfId="58" applyNumberFormat="1" applyFont="1" applyFill="1" applyBorder="1" applyAlignment="1">
      <alignment vertical="center"/>
    </xf>
    <xf numFmtId="0" fontId="7" fillId="0" borderId="0" xfId="58" applyFont="1" applyFill="1" applyBorder="1" applyAlignment="1">
      <alignment vertical="center"/>
    </xf>
    <xf numFmtId="0" fontId="8" fillId="9" borderId="0" xfId="58" applyFont="1" applyFill="1" applyAlignment="1">
      <alignment horizontal="center" vertical="center"/>
    </xf>
    <xf numFmtId="0" fontId="8" fillId="9" borderId="0" xfId="58" applyFont="1" applyFill="1">
      <alignment vertical="center"/>
    </xf>
    <xf numFmtId="0" fontId="8" fillId="9" borderId="10" xfId="58" applyFont="1" applyFill="1" applyBorder="1" applyAlignment="1">
      <alignment horizontal="center" vertical="center"/>
    </xf>
    <xf numFmtId="9" fontId="8" fillId="0" borderId="7" xfId="58" applyNumberFormat="1" applyFont="1" applyFill="1" applyBorder="1" applyAlignment="1">
      <alignment horizontal="left" vertical="center"/>
    </xf>
    <xf numFmtId="0" fontId="15" fillId="9" borderId="0" xfId="58" applyFont="1" applyFill="1" applyAlignment="1">
      <alignment vertical="center"/>
    </xf>
    <xf numFmtId="0" fontId="8" fillId="9" borderId="0" xfId="58" applyNumberFormat="1" applyFont="1" applyFill="1">
      <alignment vertical="center"/>
    </xf>
    <xf numFmtId="0" fontId="7" fillId="10" borderId="7" xfId="58" applyFont="1" applyFill="1" applyBorder="1" applyAlignment="1">
      <alignment horizontal="center" vertical="center"/>
    </xf>
    <xf numFmtId="0" fontId="7" fillId="10" borderId="2" xfId="58" applyFont="1" applyFill="1" applyBorder="1" applyAlignment="1">
      <alignment vertical="center"/>
    </xf>
    <xf numFmtId="179" fontId="8" fillId="11" borderId="7" xfId="58" applyNumberFormat="1" applyFont="1" applyFill="1" applyBorder="1">
      <alignment vertical="center"/>
    </xf>
    <xf numFmtId="0" fontId="8" fillId="11" borderId="2" xfId="58" applyFont="1" applyFill="1" applyBorder="1" applyAlignment="1">
      <alignment vertical="center"/>
    </xf>
    <xf numFmtId="183" fontId="8" fillId="11" borderId="2" xfId="58" applyNumberFormat="1" applyFont="1" applyFill="1" applyBorder="1" applyAlignment="1">
      <alignment vertical="center"/>
    </xf>
    <xf numFmtId="179" fontId="8" fillId="6" borderId="7" xfId="58" applyNumberFormat="1" applyFont="1" applyFill="1" applyBorder="1" applyAlignment="1">
      <alignment horizontal="center" vertical="center"/>
    </xf>
    <xf numFmtId="179" fontId="8" fillId="6" borderId="2" xfId="58" applyNumberFormat="1" applyFont="1" applyFill="1" applyBorder="1" applyAlignment="1">
      <alignment horizontal="center" vertical="center"/>
    </xf>
    <xf numFmtId="185" fontId="7" fillId="11" borderId="2" xfId="58" applyNumberFormat="1" applyFont="1" applyFill="1" applyBorder="1" applyAlignment="1">
      <alignment horizontal="center" vertical="center"/>
    </xf>
    <xf numFmtId="185" fontId="7" fillId="11" borderId="3" xfId="58" applyNumberFormat="1" applyFont="1" applyFill="1" applyBorder="1" applyAlignment="1">
      <alignment horizontal="center" vertical="center"/>
    </xf>
    <xf numFmtId="179" fontId="8" fillId="9" borderId="0" xfId="58" applyNumberFormat="1" applyFont="1" applyFill="1">
      <alignment vertical="center"/>
    </xf>
    <xf numFmtId="179" fontId="7" fillId="10" borderId="7" xfId="58" applyNumberFormat="1" applyFont="1" applyFill="1" applyBorder="1" applyAlignment="1">
      <alignment horizontal="center" vertical="center"/>
    </xf>
    <xf numFmtId="179" fontId="7" fillId="10" borderId="2" xfId="58" applyNumberFormat="1" applyFont="1" applyFill="1" applyBorder="1" applyAlignment="1">
      <alignment vertical="center"/>
    </xf>
    <xf numFmtId="179" fontId="8" fillId="11" borderId="2" xfId="58" applyNumberFormat="1" applyFont="1" applyFill="1" applyBorder="1" applyAlignment="1">
      <alignment vertical="center"/>
    </xf>
    <xf numFmtId="0" fontId="12" fillId="12" borderId="0" xfId="58" applyFont="1" applyFill="1">
      <alignment vertical="center"/>
    </xf>
    <xf numFmtId="0" fontId="16" fillId="12" borderId="0" xfId="58" applyFont="1" applyFill="1" applyBorder="1">
      <alignment vertical="center"/>
    </xf>
    <xf numFmtId="9" fontId="8" fillId="12" borderId="0" xfId="58" applyNumberFormat="1" applyFont="1" applyFill="1" applyBorder="1" applyAlignment="1">
      <alignment horizontal="left" vertical="center"/>
    </xf>
    <xf numFmtId="0" fontId="8" fillId="12" borderId="0" xfId="58" applyFont="1" applyFill="1" applyAlignment="1">
      <alignment horizontal="center" vertical="center"/>
    </xf>
    <xf numFmtId="0" fontId="16" fillId="10" borderId="7" xfId="58" applyFont="1" applyFill="1" applyBorder="1" applyAlignment="1">
      <alignment horizontal="center" vertical="center"/>
    </xf>
    <xf numFmtId="0" fontId="12" fillId="0" borderId="7" xfId="58" applyFont="1" applyBorder="1" applyAlignment="1">
      <alignment horizontal="center" vertical="center"/>
    </xf>
    <xf numFmtId="185" fontId="7" fillId="11" borderId="7" xfId="58" applyNumberFormat="1" applyFont="1" applyFill="1" applyBorder="1" applyAlignment="1">
      <alignment horizontal="center" vertical="center"/>
    </xf>
    <xf numFmtId="0" fontId="12" fillId="12" borderId="0" xfId="58" applyFont="1" applyFill="1" applyAlignment="1">
      <alignment horizontal="center" vertical="center"/>
    </xf>
    <xf numFmtId="0" fontId="12" fillId="0" borderId="0" xfId="58" applyFont="1" applyFill="1" applyAlignment="1">
      <alignment horizontal="center" vertical="center"/>
    </xf>
    <xf numFmtId="0" fontId="16" fillId="0" borderId="0" xfId="58" applyFont="1" applyFill="1" applyBorder="1" applyAlignment="1">
      <alignment horizontal="center" vertical="center"/>
    </xf>
    <xf numFmtId="0" fontId="12" fillId="0" borderId="0" xfId="58" applyFont="1" applyFill="1" applyBorder="1" applyAlignment="1">
      <alignment horizontal="center" vertical="center"/>
    </xf>
    <xf numFmtId="0" fontId="17" fillId="0" borderId="0" xfId="58" applyFont="1" applyAlignment="1">
      <alignment horizontal="center" vertical="center"/>
    </xf>
    <xf numFmtId="0" fontId="8" fillId="0" borderId="7" xfId="58" applyFont="1" applyFill="1" applyBorder="1">
      <alignment vertical="center"/>
    </xf>
    <xf numFmtId="9" fontId="8" fillId="0" borderId="7" xfId="58" applyNumberFormat="1" applyFont="1" applyFill="1" applyBorder="1">
      <alignment vertical="center"/>
    </xf>
    <xf numFmtId="185" fontId="7" fillId="11" borderId="4" xfId="58" applyNumberFormat="1" applyFont="1" applyFill="1" applyBorder="1" applyAlignment="1">
      <alignment horizontal="center" vertical="center"/>
    </xf>
    <xf numFmtId="9" fontId="8" fillId="9" borderId="0" xfId="58" applyNumberFormat="1" applyFont="1" applyFill="1" applyBorder="1" applyAlignment="1">
      <alignment horizontal="left" vertical="center"/>
    </xf>
    <xf numFmtId="0" fontId="12" fillId="0" borderId="0" xfId="58" applyFont="1" applyBorder="1">
      <alignment vertical="center"/>
    </xf>
    <xf numFmtId="9" fontId="8" fillId="0" borderId="0" xfId="58" applyNumberFormat="1" applyFont="1" applyFill="1" applyAlignment="1">
      <alignment horizontal="left" vertical="center"/>
    </xf>
    <xf numFmtId="0" fontId="8" fillId="0" borderId="0" xfId="58" applyNumberFormat="1" applyFont="1" applyFill="1" applyAlignment="1">
      <alignment horizontal="left" vertical="center"/>
    </xf>
    <xf numFmtId="0" fontId="13" fillId="0" borderId="0" xfId="58" applyFont="1" applyAlignment="1">
      <alignment horizontal="right" vertical="center"/>
    </xf>
    <xf numFmtId="0" fontId="8" fillId="10" borderId="7" xfId="6" applyFont="1" applyFill="1" applyBorder="1">
      <alignment vertical="center"/>
    </xf>
    <xf numFmtId="0" fontId="8" fillId="0" borderId="0" xfId="6" applyFont="1" applyFill="1" applyBorder="1" applyAlignment="1">
      <alignment vertical="center"/>
    </xf>
    <xf numFmtId="0" fontId="14" fillId="9" borderId="0" xfId="6" applyFont="1" applyFill="1" applyBorder="1" applyAlignment="1">
      <alignment horizontal="center" vertical="center"/>
    </xf>
    <xf numFmtId="0" fontId="14" fillId="9" borderId="11" xfId="6" applyFont="1" applyFill="1" applyBorder="1" applyAlignment="1">
      <alignment horizontal="center" vertical="center"/>
    </xf>
    <xf numFmtId="0" fontId="8" fillId="10" borderId="4" xfId="6" applyFont="1" applyFill="1" applyBorder="1">
      <alignment vertical="center"/>
    </xf>
    <xf numFmtId="0" fontId="8" fillId="0" borderId="7" xfId="6" applyFont="1" applyFill="1" applyBorder="1" applyAlignment="1">
      <alignment horizontal="center" vertical="center"/>
    </xf>
    <xf numFmtId="0" fontId="8" fillId="10" borderId="6" xfId="6" applyFont="1" applyFill="1" applyBorder="1" applyAlignment="1">
      <alignment vertical="center"/>
    </xf>
    <xf numFmtId="0" fontId="8" fillId="0" borderId="12" xfId="6" applyFont="1" applyFill="1" applyBorder="1" applyAlignment="1">
      <alignment horizontal="center" vertical="center"/>
    </xf>
    <xf numFmtId="0" fontId="8" fillId="10" borderId="7" xfId="6" applyFont="1" applyFill="1" applyBorder="1" applyAlignment="1">
      <alignment vertical="center"/>
    </xf>
    <xf numFmtId="0" fontId="8" fillId="0" borderId="13" xfId="6" applyFont="1" applyFill="1" applyBorder="1" applyAlignment="1">
      <alignment horizontal="center" vertical="center"/>
    </xf>
    <xf numFmtId="0" fontId="8" fillId="10" borderId="7" xfId="6" applyFont="1" applyFill="1" applyBorder="1" applyAlignment="1">
      <alignment horizontal="left" vertical="center"/>
    </xf>
    <xf numFmtId="0" fontId="8" fillId="9" borderId="0" xfId="6" applyFont="1" applyFill="1">
      <alignment vertical="center"/>
    </xf>
    <xf numFmtId="0" fontId="8" fillId="0" borderId="0" xfId="6" applyFont="1" applyFill="1">
      <alignment vertical="center"/>
    </xf>
    <xf numFmtId="0" fontId="8" fillId="0" borderId="0" xfId="6" applyFont="1" applyFill="1" applyBorder="1">
      <alignment vertical="center"/>
    </xf>
    <xf numFmtId="0" fontId="12" fillId="13" borderId="0" xfId="58" applyFont="1" applyFill="1">
      <alignment vertical="center"/>
    </xf>
    <xf numFmtId="0" fontId="16" fillId="12" borderId="0" xfId="6" applyFont="1" applyFill="1" applyAlignment="1">
      <alignment horizontal="center" vertical="center"/>
    </xf>
    <xf numFmtId="0" fontId="8" fillId="12" borderId="0" xfId="6" applyFont="1" applyFill="1">
      <alignment vertical="center"/>
    </xf>
    <xf numFmtId="0" fontId="8" fillId="12" borderId="0" xfId="6" applyFont="1" applyFill="1" applyBorder="1">
      <alignment vertical="center"/>
    </xf>
    <xf numFmtId="0" fontId="16" fillId="12" borderId="14" xfId="6" applyFont="1" applyFill="1" applyBorder="1" applyAlignment="1">
      <alignment horizontal="center" vertical="center"/>
    </xf>
    <xf numFmtId="0" fontId="7" fillId="14" borderId="2" xfId="6" applyFont="1" applyFill="1" applyBorder="1" applyAlignment="1">
      <alignment horizontal="center" vertical="center"/>
    </xf>
    <xf numFmtId="0" fontId="7" fillId="14" borderId="7" xfId="6" applyFont="1" applyFill="1" applyBorder="1" applyAlignment="1">
      <alignment horizontal="center" vertical="center"/>
    </xf>
    <xf numFmtId="0" fontId="8" fillId="11" borderId="2" xfId="6" applyFont="1" applyFill="1" applyBorder="1" applyAlignment="1">
      <alignment horizontal="center" vertical="center"/>
    </xf>
    <xf numFmtId="43" fontId="8" fillId="11" borderId="2" xfId="6" applyNumberFormat="1" applyFont="1" applyFill="1" applyBorder="1" applyAlignment="1">
      <alignment vertical="center"/>
    </xf>
    <xf numFmtId="43" fontId="8" fillId="11" borderId="7" xfId="6" applyNumberFormat="1" applyFont="1" applyFill="1" applyBorder="1" applyAlignment="1">
      <alignment vertical="center"/>
    </xf>
    <xf numFmtId="178" fontId="8" fillId="11" borderId="7" xfId="6" applyNumberFormat="1" applyFont="1" applyFill="1" applyBorder="1" applyAlignment="1">
      <alignment vertical="center"/>
    </xf>
    <xf numFmtId="0" fontId="18" fillId="11" borderId="0" xfId="6" applyFont="1" applyFill="1" applyAlignment="1">
      <alignment horizontal="center" vertical="center"/>
    </xf>
    <xf numFmtId="0" fontId="7" fillId="10" borderId="7" xfId="6" applyFont="1" applyFill="1" applyBorder="1" applyAlignment="1">
      <alignment horizontal="center" vertical="center"/>
    </xf>
    <xf numFmtId="0" fontId="8" fillId="11" borderId="7" xfId="6" applyFont="1" applyFill="1" applyBorder="1">
      <alignment vertical="center"/>
    </xf>
    <xf numFmtId="179" fontId="8" fillId="11" borderId="7" xfId="6" applyNumberFormat="1" applyFont="1" applyFill="1" applyBorder="1">
      <alignment vertical="center"/>
    </xf>
    <xf numFmtId="178" fontId="8" fillId="11" borderId="7" xfId="6" applyNumberFormat="1" applyFont="1" applyFill="1" applyBorder="1">
      <alignment vertical="center"/>
    </xf>
    <xf numFmtId="0" fontId="8" fillId="0" borderId="7" xfId="6" applyFont="1" applyFill="1" applyBorder="1">
      <alignment vertical="center"/>
    </xf>
    <xf numFmtId="179" fontId="8" fillId="0" borderId="0" xfId="6" applyNumberFormat="1" applyFont="1" applyFill="1" applyBorder="1">
      <alignment vertical="center"/>
    </xf>
    <xf numFmtId="0" fontId="19" fillId="15" borderId="7" xfId="6" applyFont="1" applyFill="1" applyBorder="1">
      <alignment vertical="center"/>
    </xf>
    <xf numFmtId="179" fontId="19" fillId="15" borderId="7" xfId="6" applyNumberFormat="1" applyFont="1" applyFill="1" applyBorder="1">
      <alignment vertical="center"/>
    </xf>
    <xf numFmtId="178" fontId="19" fillId="15" borderId="7" xfId="6" applyNumberFormat="1" applyFont="1" applyFill="1" applyBorder="1">
      <alignment vertical="center"/>
    </xf>
    <xf numFmtId="179" fontId="8" fillId="11" borderId="0" xfId="6" applyNumberFormat="1" applyFont="1" applyFill="1" applyBorder="1">
      <alignment vertical="center"/>
    </xf>
    <xf numFmtId="179" fontId="8" fillId="11" borderId="0" xfId="6" applyNumberFormat="1" applyFont="1" applyFill="1">
      <alignment vertical="center"/>
    </xf>
    <xf numFmtId="0" fontId="8" fillId="0" borderId="0" xfId="6" applyFont="1" applyFill="1" applyAlignment="1">
      <alignment vertical="center"/>
    </xf>
    <xf numFmtId="0" fontId="12" fillId="0" borderId="0" xfId="58" applyFont="1" applyAlignment="1">
      <alignment horizontal="center" vertical="center"/>
    </xf>
    <xf numFmtId="178" fontId="12" fillId="0" borderId="0" xfId="58" applyNumberFormat="1" applyFont="1" applyAlignment="1">
      <alignment horizontal="center" vertical="center"/>
    </xf>
    <xf numFmtId="0" fontId="5" fillId="5" borderId="0" xfId="58" applyFont="1" applyFill="1" applyBorder="1" applyAlignment="1">
      <alignment horizontal="center" vertical="center"/>
    </xf>
    <xf numFmtId="178" fontId="5" fillId="5" borderId="0" xfId="58" applyNumberFormat="1" applyFont="1" applyFill="1" applyBorder="1" applyAlignment="1">
      <alignment horizontal="center" vertical="center"/>
    </xf>
    <xf numFmtId="0" fontId="6" fillId="0" borderId="0" xfId="58" applyFont="1" applyAlignment="1">
      <alignment horizontal="left"/>
    </xf>
    <xf numFmtId="178" fontId="6" fillId="0" borderId="0" xfId="58" applyNumberFormat="1" applyFont="1" applyAlignment="1">
      <alignment horizontal="left"/>
    </xf>
    <xf numFmtId="178" fontId="6" fillId="0" borderId="14" xfId="58" applyNumberFormat="1" applyFont="1" applyBorder="1" applyAlignment="1">
      <alignment horizontal="center"/>
    </xf>
    <xf numFmtId="0" fontId="12" fillId="6" borderId="7" xfId="58" applyFont="1" applyFill="1" applyBorder="1" applyAlignment="1">
      <alignment horizontal="center" vertical="center"/>
    </xf>
    <xf numFmtId="178" fontId="12" fillId="6" borderId="7" xfId="58" applyNumberFormat="1" applyFont="1" applyFill="1" applyBorder="1" applyAlignment="1">
      <alignment horizontal="center" vertical="center"/>
    </xf>
    <xf numFmtId="43" fontId="12" fillId="0" borderId="7" xfId="58" applyNumberFormat="1" applyFont="1" applyBorder="1" applyAlignment="1">
      <alignment horizontal="right" vertical="center"/>
    </xf>
    <xf numFmtId="43" fontId="12" fillId="7" borderId="7" xfId="58" applyNumberFormat="1" applyFont="1" applyFill="1" applyBorder="1" applyAlignment="1">
      <alignment horizontal="right" vertical="center"/>
    </xf>
    <xf numFmtId="0" fontId="12" fillId="6" borderId="6" xfId="58" applyFont="1" applyFill="1" applyBorder="1" applyAlignment="1">
      <alignment horizontal="center" vertical="center"/>
    </xf>
    <xf numFmtId="43" fontId="12" fillId="0" borderId="6" xfId="58" applyNumberFormat="1" applyFont="1" applyBorder="1" applyAlignment="1">
      <alignment horizontal="right" vertical="center"/>
    </xf>
    <xf numFmtId="43" fontId="12" fillId="7" borderId="6" xfId="58" applyNumberFormat="1" applyFont="1" applyFill="1" applyBorder="1" applyAlignment="1">
      <alignment horizontal="right" vertical="center"/>
    </xf>
    <xf numFmtId="0" fontId="20" fillId="0" borderId="7" xfId="58" applyFont="1" applyBorder="1" applyAlignment="1">
      <alignment horizontal="left" vertical="center"/>
    </xf>
    <xf numFmtId="178" fontId="20" fillId="0" borderId="7" xfId="58" applyNumberFormat="1" applyFont="1" applyBorder="1" applyAlignment="1">
      <alignment horizontal="left" vertical="center"/>
    </xf>
    <xf numFmtId="0" fontId="12" fillId="0" borderId="0" xfId="58" applyFont="1" applyFill="1" applyAlignment="1" applyProtection="1">
      <protection locked="0"/>
    </xf>
    <xf numFmtId="0" fontId="16" fillId="0" borderId="0" xfId="58" applyFont="1" applyFill="1" applyProtection="1">
      <alignment vertical="center"/>
      <protection locked="0"/>
    </xf>
    <xf numFmtId="0" fontId="21" fillId="0" borderId="0" xfId="58" applyFont="1" applyFill="1" applyProtection="1">
      <alignment vertical="center"/>
      <protection locked="0"/>
    </xf>
    <xf numFmtId="0" fontId="22" fillId="0" borderId="0" xfId="58" applyFont="1" applyFill="1" applyProtection="1">
      <alignment vertical="center"/>
      <protection locked="0"/>
    </xf>
    <xf numFmtId="0" fontId="12" fillId="0" borderId="0" xfId="58" applyFont="1" applyFill="1" applyProtection="1">
      <alignment vertical="center"/>
      <protection locked="0"/>
    </xf>
    <xf numFmtId="0" fontId="5" fillId="5" borderId="0" xfId="58" applyFont="1" applyFill="1" applyAlignment="1" applyProtection="1">
      <alignment horizontal="center" vertical="center"/>
      <protection locked="0"/>
    </xf>
    <xf numFmtId="0" fontId="13" fillId="0" borderId="0" xfId="58" applyFont="1" applyFill="1" applyAlignment="1" applyProtection="1">
      <alignment horizontal="left"/>
    </xf>
    <xf numFmtId="0" fontId="17" fillId="0" borderId="0" xfId="58" applyFont="1" applyFill="1" applyAlignment="1" applyProtection="1">
      <alignment horizontal="right" vertical="center"/>
      <protection locked="0"/>
    </xf>
    <xf numFmtId="14" fontId="16" fillId="0" borderId="0" xfId="58" applyNumberFormat="1" applyFont="1" applyFill="1" applyAlignment="1" applyProtection="1">
      <alignment horizontal="center" vertical="center"/>
    </xf>
    <xf numFmtId="0" fontId="23" fillId="10" borderId="7" xfId="58" applyFont="1" applyFill="1" applyBorder="1" applyAlignment="1" applyProtection="1">
      <alignment horizontal="center" vertical="center"/>
      <protection locked="0"/>
    </xf>
    <xf numFmtId="0" fontId="24" fillId="10" borderId="7" xfId="58" applyFont="1" applyFill="1" applyBorder="1" applyProtection="1">
      <alignment vertical="center"/>
      <protection locked="0"/>
    </xf>
    <xf numFmtId="178" fontId="23" fillId="10" borderId="7" xfId="58" applyNumberFormat="1" applyFont="1" applyFill="1" applyBorder="1" applyAlignment="1" applyProtection="1">
      <alignment horizontal="center" vertical="center"/>
      <protection locked="0"/>
    </xf>
    <xf numFmtId="0" fontId="23" fillId="10" borderId="7" xfId="58" applyFont="1" applyFill="1" applyBorder="1" applyAlignment="1" applyProtection="1">
      <alignment horizontal="center" vertical="center" wrapText="1"/>
      <protection locked="0"/>
    </xf>
    <xf numFmtId="14" fontId="25" fillId="0" borderId="7" xfId="58" applyNumberFormat="1" applyFont="1" applyFill="1" applyBorder="1" applyAlignment="1" applyProtection="1">
      <alignment horizontal="left"/>
      <protection locked="0"/>
    </xf>
    <xf numFmtId="0" fontId="25" fillId="0" borderId="7" xfId="58" applyFont="1" applyFill="1" applyBorder="1" applyAlignment="1" applyProtection="1">
      <alignment horizontal="center"/>
      <protection locked="0"/>
    </xf>
    <xf numFmtId="43" fontId="25" fillId="0" borderId="7" xfId="58" applyNumberFormat="1" applyFont="1" applyFill="1" applyBorder="1" applyAlignment="1" applyProtection="1">
      <alignment horizontal="right"/>
      <protection locked="0"/>
    </xf>
    <xf numFmtId="43" fontId="25" fillId="11" borderId="7" xfId="58" applyNumberFormat="1" applyFont="1" applyFill="1" applyBorder="1" applyAlignment="1" applyProtection="1">
      <alignment horizontal="right"/>
      <protection hidden="1"/>
    </xf>
    <xf numFmtId="14" fontId="25" fillId="11" borderId="7" xfId="58" applyNumberFormat="1" applyFont="1" applyFill="1" applyBorder="1" applyAlignment="1" applyProtection="1">
      <alignment horizontal="left"/>
      <protection hidden="1"/>
    </xf>
    <xf numFmtId="0" fontId="23" fillId="0" borderId="2" xfId="58" applyFont="1" applyFill="1" applyBorder="1" applyAlignment="1" applyProtection="1">
      <alignment horizontal="center" vertical="center"/>
      <protection locked="0"/>
    </xf>
    <xf numFmtId="0" fontId="23" fillId="0" borderId="3" xfId="58" applyFont="1" applyFill="1" applyBorder="1" applyAlignment="1" applyProtection="1">
      <alignment horizontal="center" vertical="center"/>
      <protection locked="0"/>
    </xf>
    <xf numFmtId="0" fontId="23" fillId="0" borderId="4" xfId="58" applyFont="1" applyFill="1" applyBorder="1" applyAlignment="1" applyProtection="1">
      <alignment horizontal="center" vertical="center"/>
      <protection locked="0"/>
    </xf>
    <xf numFmtId="43" fontId="25" fillId="11" borderId="7" xfId="58" applyNumberFormat="1" applyFont="1" applyFill="1" applyBorder="1" applyAlignment="1" applyProtection="1">
      <alignment horizontal="right" vertical="center"/>
      <protection hidden="1"/>
    </xf>
    <xf numFmtId="43" fontId="26" fillId="11" borderId="7" xfId="58" applyNumberFormat="1" applyFont="1" applyFill="1" applyBorder="1" applyAlignment="1" applyProtection="1">
      <alignment horizontal="right" vertical="center"/>
      <protection hidden="1"/>
    </xf>
    <xf numFmtId="0" fontId="25" fillId="14" borderId="7" xfId="58" applyFont="1" applyFill="1" applyBorder="1" applyAlignment="1" applyProtection="1">
      <alignment horizontal="center" vertical="center"/>
      <protection locked="0"/>
    </xf>
    <xf numFmtId="0" fontId="13" fillId="0" borderId="15" xfId="58" applyFont="1" applyFill="1" applyBorder="1" applyAlignment="1" applyProtection="1">
      <alignment horizontal="center" vertical="center"/>
    </xf>
    <xf numFmtId="0" fontId="27" fillId="0" borderId="0" xfId="58" applyFont="1" applyFill="1" applyProtection="1">
      <alignment vertical="center"/>
      <protection locked="0"/>
    </xf>
    <xf numFmtId="0" fontId="13" fillId="0" borderId="14" xfId="58" applyFont="1" applyFill="1" applyBorder="1" applyAlignment="1" applyProtection="1">
      <alignment horizontal="right"/>
      <protection locked="0"/>
    </xf>
    <xf numFmtId="178" fontId="23" fillId="10" borderId="1" xfId="58" applyNumberFormat="1" applyFont="1" applyFill="1" applyBorder="1" applyAlignment="1" applyProtection="1">
      <alignment horizontal="center" vertical="center" wrapText="1"/>
      <protection locked="0"/>
    </xf>
    <xf numFmtId="0" fontId="28" fillId="10" borderId="7" xfId="58" applyFont="1" applyFill="1" applyBorder="1" applyAlignment="1" applyProtection="1">
      <alignment horizontal="center" vertical="center"/>
      <protection locked="0"/>
    </xf>
    <xf numFmtId="178" fontId="23" fillId="10" borderId="6" xfId="58" applyNumberFormat="1" applyFont="1" applyFill="1" applyBorder="1" applyAlignment="1" applyProtection="1">
      <alignment horizontal="center" vertical="center" wrapText="1"/>
      <protection locked="0"/>
    </xf>
    <xf numFmtId="0" fontId="25" fillId="11" borderId="7" xfId="58" applyFont="1" applyFill="1" applyBorder="1" applyAlignment="1" applyProtection="1">
      <alignment horizontal="center" vertical="center"/>
    </xf>
    <xf numFmtId="43" fontId="25" fillId="11" borderId="7" xfId="58" applyNumberFormat="1" applyFont="1" applyFill="1" applyBorder="1" applyProtection="1">
      <alignment vertical="center"/>
      <protection hidden="1"/>
    </xf>
    <xf numFmtId="0" fontId="8" fillId="0" borderId="0" xfId="58" applyFont="1" applyFill="1" applyProtection="1">
      <alignment vertical="center"/>
      <protection locked="0"/>
    </xf>
    <xf numFmtId="22" fontId="21" fillId="0" borderId="0" xfId="58" applyNumberFormat="1" applyFont="1" applyFill="1" applyProtection="1">
      <alignment vertical="center"/>
      <protection locked="0"/>
    </xf>
    <xf numFmtId="0" fontId="0" fillId="0" borderId="0" xfId="0" applyFill="1" applyAlignment="1">
      <alignment vertical="center"/>
    </xf>
    <xf numFmtId="0" fontId="5" fillId="5" borderId="0" xfId="0" applyFont="1" applyFill="1" applyAlignment="1">
      <alignment horizontal="center" vertical="center"/>
    </xf>
    <xf numFmtId="0" fontId="17" fillId="0" borderId="0" xfId="0" applyFont="1" applyFill="1" applyAlignment="1">
      <alignment horizontal="left" vertical="center"/>
    </xf>
    <xf numFmtId="182" fontId="17" fillId="0" borderId="0" xfId="0" applyNumberFormat="1" applyFont="1" applyFill="1" applyAlignment="1">
      <alignment horizontal="center" vertical="center"/>
    </xf>
    <xf numFmtId="0" fontId="17" fillId="0" borderId="0" xfId="0" applyFont="1" applyFill="1" applyAlignment="1">
      <alignment horizontal="right" vertical="center"/>
    </xf>
    <xf numFmtId="0" fontId="16" fillId="10" borderId="7" xfId="0" applyFont="1" applyFill="1" applyBorder="1" applyAlignment="1">
      <alignment horizontal="center" vertical="center"/>
    </xf>
    <xf numFmtId="0" fontId="16" fillId="10" borderId="7" xfId="0" applyFont="1" applyFill="1" applyBorder="1" applyAlignment="1">
      <alignment vertical="center"/>
    </xf>
    <xf numFmtId="0" fontId="16" fillId="0" borderId="7" xfId="0" applyFont="1" applyFill="1" applyBorder="1" applyAlignment="1">
      <alignment horizontal="center" vertical="center"/>
    </xf>
    <xf numFmtId="43" fontId="12" fillId="0" borderId="7" xfId="0" applyNumberFormat="1" applyFont="1" applyFill="1" applyBorder="1" applyAlignment="1">
      <alignment vertical="center"/>
    </xf>
    <xf numFmtId="0" fontId="12" fillId="0" borderId="7" xfId="0" applyFont="1" applyFill="1" applyBorder="1" applyAlignment="1">
      <alignment vertical="center"/>
    </xf>
    <xf numFmtId="0" fontId="12" fillId="10" borderId="7" xfId="0" applyFont="1" applyFill="1" applyBorder="1" applyAlignment="1">
      <alignment vertical="center"/>
    </xf>
    <xf numFmtId="0" fontId="12" fillId="10" borderId="7" xfId="0" applyFont="1" applyFill="1" applyBorder="1" applyAlignment="1">
      <alignment horizontal="left" vertical="center"/>
    </xf>
    <xf numFmtId="43" fontId="12" fillId="11" borderId="7" xfId="0" applyNumberFormat="1" applyFont="1" applyFill="1" applyBorder="1" applyAlignment="1">
      <alignment vertical="center"/>
    </xf>
    <xf numFmtId="0" fontId="17" fillId="0" borderId="15" xfId="0" applyFont="1" applyFill="1" applyBorder="1" applyAlignment="1">
      <alignment horizontal="center" vertical="center"/>
    </xf>
    <xf numFmtId="0" fontId="13" fillId="0" borderId="14" xfId="58" applyFont="1" applyBorder="1" applyAlignment="1">
      <alignment horizontal="left"/>
    </xf>
    <xf numFmtId="0" fontId="5" fillId="0" borderId="14" xfId="58" applyFont="1" applyBorder="1" applyAlignment="1">
      <alignment horizontal="center" vertical="center"/>
    </xf>
    <xf numFmtId="0" fontId="13" fillId="0" borderId="14" xfId="58" applyFont="1" applyBorder="1" applyAlignment="1">
      <alignment horizontal="right"/>
    </xf>
    <xf numFmtId="0" fontId="16" fillId="6" borderId="7" xfId="0" applyFont="1" applyFill="1" applyBorder="1" applyAlignment="1">
      <alignment horizontal="center" vertical="center"/>
    </xf>
    <xf numFmtId="0" fontId="16" fillId="6" borderId="7" xfId="0" applyFont="1" applyFill="1" applyBorder="1" applyAlignment="1">
      <alignment horizontal="right" vertical="center"/>
    </xf>
    <xf numFmtId="178" fontId="12" fillId="0" borderId="7" xfId="58" applyNumberFormat="1" applyFont="1" applyBorder="1" applyAlignment="1">
      <alignment horizontal="right" vertical="top" wrapText="1"/>
    </xf>
    <xf numFmtId="180" fontId="12" fillId="11" borderId="7" xfId="58" applyNumberFormat="1" applyFont="1" applyFill="1" applyBorder="1" applyAlignment="1">
      <alignment horizontal="right" vertical="center"/>
    </xf>
    <xf numFmtId="178" fontId="12" fillId="11" borderId="7" xfId="58" applyNumberFormat="1" applyFont="1" applyFill="1" applyBorder="1" applyAlignment="1">
      <alignment horizontal="right" vertical="center"/>
    </xf>
    <xf numFmtId="180" fontId="12" fillId="11" borderId="7" xfId="58" applyNumberFormat="1" applyFont="1" applyFill="1" applyBorder="1">
      <alignment vertical="center"/>
    </xf>
    <xf numFmtId="0" fontId="17" fillId="6" borderId="7" xfId="0" applyFont="1" applyFill="1" applyBorder="1" applyAlignment="1">
      <alignment horizontal="right" vertical="center"/>
    </xf>
    <xf numFmtId="0" fontId="17" fillId="6" borderId="7" xfId="0" applyFont="1" applyFill="1" applyBorder="1" applyAlignment="1">
      <alignment horizontal="center" vertical="center"/>
    </xf>
    <xf numFmtId="178" fontId="29" fillId="11" borderId="7" xfId="58" applyNumberFormat="1" applyFont="1" applyFill="1" applyBorder="1" applyAlignment="1">
      <alignment horizontal="right" vertical="top" wrapText="1"/>
    </xf>
    <xf numFmtId="178" fontId="12" fillId="10" borderId="7" xfId="58" applyNumberFormat="1" applyFont="1" applyFill="1" applyBorder="1">
      <alignment vertical="center"/>
    </xf>
    <xf numFmtId="177" fontId="12" fillId="10" borderId="7" xfId="58" applyNumberFormat="1" applyFont="1" applyFill="1" applyBorder="1">
      <alignment vertical="center"/>
    </xf>
    <xf numFmtId="0" fontId="16" fillId="6" borderId="3" xfId="0" applyFont="1" applyFill="1" applyBorder="1" applyAlignment="1">
      <alignment horizontal="center" vertical="center"/>
    </xf>
    <xf numFmtId="43" fontId="25" fillId="0" borderId="0" xfId="0" applyNumberFormat="1" applyFont="1" applyFill="1" applyBorder="1" applyAlignment="1">
      <alignment vertical="center"/>
    </xf>
    <xf numFmtId="0" fontId="12" fillId="10" borderId="0" xfId="58" applyFont="1" applyFill="1" applyAlignment="1">
      <alignment horizontal="right" vertical="center"/>
    </xf>
    <xf numFmtId="178" fontId="12" fillId="11" borderId="0" xfId="58" applyNumberFormat="1" applyFont="1" applyFill="1" applyAlignment="1">
      <alignment horizontal="center" vertical="center"/>
    </xf>
    <xf numFmtId="0" fontId="12" fillId="10" borderId="0" xfId="58" applyFont="1" applyFill="1" applyAlignment="1">
      <alignment horizontal="center" vertical="center"/>
    </xf>
    <xf numFmtId="180" fontId="12" fillId="11" borderId="0" xfId="58" applyNumberFormat="1" applyFont="1" applyFill="1" applyAlignment="1">
      <alignment horizontal="center" vertical="center"/>
    </xf>
    <xf numFmtId="0" fontId="12" fillId="10" borderId="0" xfId="58" applyFont="1" applyFill="1">
      <alignment vertical="center"/>
    </xf>
    <xf numFmtId="180" fontId="12" fillId="10" borderId="7" xfId="58" applyNumberFormat="1" applyFont="1" applyFill="1" applyBorder="1">
      <alignment vertical="center"/>
    </xf>
    <xf numFmtId="177" fontId="12" fillId="0" borderId="0" xfId="58" applyNumberFormat="1" applyFont="1">
      <alignment vertical="center"/>
    </xf>
    <xf numFmtId="177" fontId="12" fillId="0" borderId="0" xfId="58" applyNumberFormat="1" applyFont="1" applyBorder="1">
      <alignment vertical="center"/>
    </xf>
    <xf numFmtId="0" fontId="16" fillId="6" borderId="2" xfId="0" applyFont="1" applyFill="1" applyBorder="1" applyAlignment="1">
      <alignment horizontal="center" vertical="center"/>
    </xf>
    <xf numFmtId="0" fontId="16" fillId="6" borderId="4" xfId="0" applyFont="1" applyFill="1" applyBorder="1" applyAlignment="1">
      <alignment horizontal="center" vertical="center"/>
    </xf>
    <xf numFmtId="186" fontId="12" fillId="11" borderId="7" xfId="58" applyNumberFormat="1" applyFont="1" applyFill="1" applyBorder="1">
      <alignment vertical="center"/>
    </xf>
    <xf numFmtId="178" fontId="29" fillId="11" borderId="7" xfId="58" applyNumberFormat="1" applyFont="1" applyFill="1" applyBorder="1">
      <alignment vertical="center"/>
    </xf>
    <xf numFmtId="0" fontId="12" fillId="0" borderId="0" xfId="0" applyFont="1" applyFill="1" applyAlignment="1">
      <alignment vertical="center"/>
    </xf>
    <xf numFmtId="0" fontId="12" fillId="0" borderId="16" xfId="0" applyFont="1" applyFill="1" applyBorder="1" applyAlignment="1">
      <alignment horizontal="centerContinuous" vertical="center"/>
    </xf>
    <xf numFmtId="0" fontId="12" fillId="0" borderId="0" xfId="0" applyFont="1" applyFill="1" applyBorder="1" applyAlignment="1">
      <alignment vertical="center"/>
    </xf>
    <xf numFmtId="0" fontId="12" fillId="0" borderId="17" xfId="0" applyFont="1" applyFill="1" applyBorder="1" applyAlignment="1">
      <alignment vertical="center"/>
    </xf>
    <xf numFmtId="0" fontId="12" fillId="0" borderId="16" xfId="0" applyFont="1" applyFill="1" applyBorder="1" applyAlignment="1">
      <alignment horizontal="center" vertical="center"/>
    </xf>
    <xf numFmtId="0" fontId="12" fillId="0" borderId="0" xfId="0" applyFont="1" applyFill="1" applyAlignment="1" applyProtection="1">
      <alignment vertical="center"/>
      <protection locked="0"/>
    </xf>
    <xf numFmtId="0" fontId="30" fillId="0" borderId="0" xfId="0" applyFont="1" applyFill="1" applyAlignment="1">
      <alignment vertical="center"/>
    </xf>
    <xf numFmtId="0" fontId="16" fillId="0" borderId="0" xfId="0" applyFont="1" applyFill="1" applyAlignment="1">
      <alignment horizontal="center" vertical="center"/>
    </xf>
    <xf numFmtId="0" fontId="0" fillId="0" borderId="0" xfId="0" applyAlignment="1"/>
    <xf numFmtId="0" fontId="6" fillId="0" borderId="0" xfId="0" applyFont="1" applyFill="1" applyAlignment="1" applyProtection="1">
      <alignment horizontal="left" vertical="center"/>
      <protection locked="0"/>
    </xf>
    <xf numFmtId="0" fontId="6" fillId="0" borderId="0" xfId="0" applyFont="1" applyFill="1" applyAlignment="1" applyProtection="1">
      <alignment horizontal="right" vertical="center"/>
      <protection locked="0"/>
    </xf>
    <xf numFmtId="0" fontId="31" fillId="0" borderId="0" xfId="0" applyFont="1" applyFill="1" applyAlignment="1">
      <alignment horizontal="center" vertical="center"/>
    </xf>
    <xf numFmtId="0" fontId="6" fillId="0" borderId="0" xfId="0" applyFont="1" applyFill="1" applyAlignment="1">
      <alignment horizontal="right" vertical="center"/>
    </xf>
    <xf numFmtId="0" fontId="25" fillId="6" borderId="7" xfId="0" applyFont="1" applyFill="1" applyBorder="1" applyAlignment="1">
      <alignment horizontal="center" vertical="center"/>
    </xf>
    <xf numFmtId="9" fontId="25" fillId="6" borderId="7" xfId="0" applyNumberFormat="1" applyFont="1" applyFill="1" applyBorder="1" applyAlignment="1">
      <alignment vertical="center"/>
    </xf>
    <xf numFmtId="0" fontId="25" fillId="6" borderId="7" xfId="0" applyFont="1" applyFill="1" applyBorder="1" applyAlignment="1">
      <alignment vertical="center"/>
    </xf>
    <xf numFmtId="0" fontId="32" fillId="0" borderId="7" xfId="0" applyFont="1" applyFill="1" applyBorder="1" applyAlignment="1">
      <alignment horizontal="left" vertical="center" wrapText="1"/>
    </xf>
    <xf numFmtId="0" fontId="31" fillId="0" borderId="14" xfId="0" applyFont="1" applyFill="1" applyBorder="1" applyAlignment="1">
      <alignment horizontal="center" vertical="center"/>
    </xf>
    <xf numFmtId="9" fontId="25" fillId="6" borderId="7" xfId="0" applyNumberFormat="1" applyFont="1" applyFill="1" applyBorder="1" applyAlignment="1">
      <alignment horizontal="center" vertical="center"/>
    </xf>
    <xf numFmtId="0" fontId="0" fillId="0" borderId="7" xfId="0" applyFill="1" applyBorder="1" applyAlignment="1">
      <alignment horizontal="center"/>
    </xf>
    <xf numFmtId="0" fontId="0" fillId="0" borderId="7" xfId="0" applyBorder="1" applyAlignment="1">
      <alignment horizontal="center"/>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5" fillId="5" borderId="0" xfId="0" applyFont="1" applyFill="1" applyAlignment="1" applyProtection="1">
      <alignment horizontal="center" vertical="center"/>
      <protection locked="0"/>
    </xf>
    <xf numFmtId="0" fontId="6" fillId="0" borderId="0" xfId="0" applyFont="1" applyFill="1" applyAlignment="1" applyProtection="1">
      <alignment horizontal="left"/>
    </xf>
    <xf numFmtId="0" fontId="6" fillId="0" borderId="0" xfId="0" applyFont="1" applyFill="1" applyAlignment="1" applyProtection="1">
      <alignment horizontal="right"/>
    </xf>
    <xf numFmtId="0" fontId="7" fillId="0" borderId="0" xfId="0" applyFont="1" applyFill="1" applyAlignment="1" applyProtection="1">
      <alignment vertical="center"/>
      <protection locked="0"/>
    </xf>
    <xf numFmtId="0" fontId="8" fillId="0" borderId="7" xfId="0" applyFont="1" applyFill="1" applyBorder="1" applyAlignment="1" applyProtection="1">
      <alignment horizontal="left" vertical="center"/>
      <protection locked="0"/>
    </xf>
    <xf numFmtId="43" fontId="8" fillId="7" borderId="7" xfId="0" applyNumberFormat="1" applyFont="1" applyFill="1" applyBorder="1" applyAlignment="1" applyProtection="1">
      <alignment horizontal="center" vertical="center"/>
    </xf>
    <xf numFmtId="0" fontId="8" fillId="0" borderId="7" xfId="0" applyFont="1" applyFill="1" applyBorder="1" applyAlignment="1" applyProtection="1">
      <alignment vertical="center"/>
      <protection locked="0"/>
    </xf>
    <xf numFmtId="43" fontId="8" fillId="7" borderId="7" xfId="0" applyNumberFormat="1" applyFont="1" applyFill="1" applyBorder="1" applyAlignment="1" applyProtection="1">
      <alignment vertical="center"/>
    </xf>
    <xf numFmtId="10" fontId="8" fillId="7" borderId="7" xfId="0" applyNumberFormat="1" applyFont="1" applyFill="1" applyBorder="1" applyAlignment="1" applyProtection="1">
      <alignment vertical="center"/>
    </xf>
    <xf numFmtId="0" fontId="6" fillId="0" borderId="7" xfId="0" applyFont="1" applyFill="1" applyBorder="1" applyAlignment="1" applyProtection="1">
      <alignment vertical="center"/>
      <protection locked="0"/>
    </xf>
    <xf numFmtId="0" fontId="9" fillId="7" borderId="7" xfId="0" applyFont="1" applyFill="1" applyBorder="1" applyAlignment="1" applyProtection="1">
      <alignment horizontal="center" vertical="center"/>
    </xf>
    <xf numFmtId="10" fontId="9" fillId="7" borderId="7" xfId="0" applyNumberFormat="1" applyFont="1" applyFill="1" applyBorder="1" applyAlignment="1" applyProtection="1">
      <alignment horizontal="center" vertical="center"/>
    </xf>
    <xf numFmtId="0" fontId="22" fillId="0" borderId="7" xfId="48"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9" fillId="7" borderId="7" xfId="0"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7" fillId="0" borderId="0" xfId="0" applyFont="1" applyFill="1" applyAlignment="1" applyProtection="1">
      <alignment horizontal="center" vertical="center"/>
      <protection locked="0"/>
    </xf>
    <xf numFmtId="0" fontId="0" fillId="0" borderId="0" xfId="0" applyFont="1" applyFill="1" applyAlignment="1">
      <alignment vertical="center"/>
    </xf>
    <xf numFmtId="0" fontId="3" fillId="0" borderId="0" xfId="68" applyFont="1" applyFill="1" applyAlignment="1"/>
    <xf numFmtId="0" fontId="3" fillId="0" borderId="0" xfId="0" applyFont="1" applyFill="1" applyAlignment="1">
      <alignment horizontal="center" vertical="center"/>
    </xf>
    <xf numFmtId="0" fontId="3" fillId="0" borderId="0" xfId="0" applyFont="1" applyFill="1" applyAlignment="1">
      <alignment vertical="center"/>
    </xf>
    <xf numFmtId="0" fontId="12" fillId="0" borderId="0" xfId="68" applyFont="1" applyFill="1" applyBorder="1" applyAlignment="1"/>
    <xf numFmtId="0" fontId="5" fillId="0" borderId="0" xfId="68" applyFont="1" applyFill="1" applyBorder="1" applyAlignment="1">
      <alignment horizontal="center"/>
    </xf>
    <xf numFmtId="0" fontId="6" fillId="0" borderId="0" xfId="68" applyFont="1" applyFill="1" applyBorder="1" applyAlignment="1">
      <alignment horizontal="left"/>
    </xf>
    <xf numFmtId="0" fontId="6" fillId="0" borderId="0" xfId="68" applyFont="1" applyFill="1" applyBorder="1" applyAlignment="1">
      <alignment horizontal="center"/>
    </xf>
    <xf numFmtId="0" fontId="6" fillId="0" borderId="0" xfId="68" applyFont="1" applyFill="1" applyBorder="1" applyAlignment="1">
      <alignment horizontal="right"/>
    </xf>
    <xf numFmtId="0" fontId="8" fillId="0" borderId="0" xfId="68" applyFont="1" applyFill="1" applyBorder="1" applyAlignment="1"/>
    <xf numFmtId="0" fontId="7" fillId="6" borderId="7" xfId="68" applyFont="1" applyFill="1" applyBorder="1" applyAlignment="1">
      <alignment horizontal="center" vertical="center"/>
    </xf>
    <xf numFmtId="0" fontId="8" fillId="0" borderId="0" xfId="68" applyFont="1" applyFill="1" applyBorder="1" applyAlignment="1">
      <alignment horizontal="center"/>
    </xf>
    <xf numFmtId="0" fontId="8" fillId="6" borderId="7" xfId="68" applyFont="1" applyFill="1" applyBorder="1" applyAlignment="1">
      <alignment vertical="center"/>
    </xf>
    <xf numFmtId="0" fontId="8" fillId="0" borderId="7" xfId="68" applyFont="1" applyFill="1" applyBorder="1" applyAlignment="1">
      <alignment horizontal="center" vertical="center"/>
    </xf>
    <xf numFmtId="0" fontId="8" fillId="7" borderId="7" xfId="68" applyFont="1" applyFill="1" applyBorder="1" applyAlignment="1">
      <alignment horizontal="center" vertical="center"/>
    </xf>
    <xf numFmtId="0" fontId="8" fillId="0" borderId="7" xfId="68" applyFont="1" applyFill="1" applyBorder="1" applyAlignment="1">
      <alignment vertical="center"/>
    </xf>
    <xf numFmtId="43" fontId="8" fillId="0" borderId="7" xfId="68" applyNumberFormat="1" applyFont="1" applyFill="1" applyBorder="1" applyAlignment="1">
      <alignment vertical="center"/>
    </xf>
    <xf numFmtId="43" fontId="8" fillId="7" borderId="7" xfId="68" applyNumberFormat="1" applyFont="1" applyFill="1" applyBorder="1" applyAlignment="1">
      <alignment vertical="center"/>
    </xf>
    <xf numFmtId="10" fontId="8" fillId="7" borderId="7" xfId="68" applyNumberFormat="1" applyFont="1" applyFill="1" applyBorder="1" applyAlignment="1">
      <alignment vertical="center"/>
    </xf>
    <xf numFmtId="0" fontId="8" fillId="6" borderId="7" xfId="68"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3" fillId="0" borderId="0" xfId="62" applyFont="1" applyFill="1" applyAlignment="1"/>
    <xf numFmtId="0" fontId="0" fillId="0" borderId="0" xfId="62" applyFont="1" applyFill="1" applyAlignment="1"/>
    <xf numFmtId="0" fontId="33" fillId="0" borderId="0" xfId="62" applyFont="1" applyFill="1" applyAlignment="1"/>
    <xf numFmtId="0" fontId="3" fillId="0" borderId="0" xfId="62" applyFont="1" applyFill="1" applyAlignment="1">
      <alignment vertical="center"/>
    </xf>
    <xf numFmtId="0" fontId="33" fillId="0" borderId="0" xfId="62" applyFont="1" applyFill="1" applyAlignment="1">
      <alignment horizontal="right"/>
    </xf>
    <xf numFmtId="0" fontId="34" fillId="0" borderId="0" xfId="62" applyFont="1" applyFill="1" applyAlignment="1">
      <alignment horizontal="center" vertical="center" textRotation="255" wrapText="1"/>
    </xf>
    <xf numFmtId="0" fontId="4" fillId="6" borderId="18" xfId="62" applyFont="1" applyFill="1" applyBorder="1" applyAlignment="1">
      <alignment horizontal="center" vertical="center"/>
    </xf>
    <xf numFmtId="0" fontId="0" fillId="0" borderId="0" xfId="62" applyFont="1" applyFill="1" applyAlignment="1">
      <alignment vertical="center"/>
    </xf>
    <xf numFmtId="0" fontId="4" fillId="6" borderId="19" xfId="62" applyFont="1" applyFill="1" applyBorder="1" applyAlignment="1">
      <alignment horizontal="center" vertical="center"/>
    </xf>
    <xf numFmtId="0" fontId="4" fillId="6" borderId="0" xfId="62" applyFont="1" applyFill="1" applyAlignment="1">
      <alignment horizontal="center" vertical="center"/>
    </xf>
    <xf numFmtId="0" fontId="4" fillId="6" borderId="20" xfId="62" applyFont="1" applyFill="1" applyBorder="1" applyAlignment="1">
      <alignment horizontal="center" vertical="center"/>
    </xf>
    <xf numFmtId="0" fontId="4" fillId="6" borderId="7" xfId="62" applyFont="1" applyFill="1" applyBorder="1" applyAlignment="1">
      <alignment horizontal="center"/>
    </xf>
    <xf numFmtId="184" fontId="3" fillId="7" borderId="7" xfId="62" applyNumberFormat="1" applyFont="1" applyFill="1" applyBorder="1" applyAlignment="1"/>
    <xf numFmtId="41" fontId="3" fillId="7" borderId="7" xfId="62" applyNumberFormat="1" applyFont="1" applyFill="1" applyBorder="1" applyAlignment="1"/>
    <xf numFmtId="41" fontId="3" fillId="0" borderId="21" xfId="62" applyNumberFormat="1" applyFont="1" applyFill="1" applyBorder="1" applyAlignment="1">
      <alignment vertical="center"/>
    </xf>
    <xf numFmtId="41" fontId="3" fillId="0" borderId="22" xfId="62" applyNumberFormat="1" applyFont="1" applyFill="1" applyBorder="1" applyAlignment="1">
      <alignment vertical="center"/>
    </xf>
    <xf numFmtId="41" fontId="3" fillId="7" borderId="22" xfId="62" applyNumberFormat="1" applyFont="1" applyFill="1" applyBorder="1" applyAlignment="1">
      <alignment vertical="center"/>
    </xf>
    <xf numFmtId="0" fontId="3" fillId="8" borderId="22" xfId="62" applyFont="1" applyFill="1" applyBorder="1" applyAlignment="1">
      <alignment horizontal="center" vertical="center"/>
    </xf>
    <xf numFmtId="10" fontId="3" fillId="0" borderId="22" xfId="62" applyNumberFormat="1" applyFont="1" applyFill="1" applyBorder="1" applyAlignment="1">
      <alignment horizontal="center" vertical="center"/>
    </xf>
    <xf numFmtId="0" fontId="3" fillId="6" borderId="22" xfId="62" applyFont="1" applyFill="1" applyBorder="1" applyAlignment="1">
      <alignment vertical="center"/>
    </xf>
    <xf numFmtId="0" fontId="3" fillId="7" borderId="22" xfId="62" applyFont="1" applyFill="1" applyBorder="1" applyAlignment="1">
      <alignment horizontal="center" vertical="center"/>
    </xf>
    <xf numFmtId="0" fontId="35" fillId="0" borderId="0" xfId="62" applyFont="1" applyFill="1" applyAlignment="1"/>
    <xf numFmtId="41" fontId="3" fillId="7" borderId="23" xfId="62" applyNumberFormat="1" applyFont="1" applyFill="1" applyBorder="1" applyAlignment="1">
      <alignment vertical="center"/>
    </xf>
    <xf numFmtId="41" fontId="3" fillId="6" borderId="7" xfId="62" applyNumberFormat="1" applyFont="1" applyFill="1" applyBorder="1" applyAlignment="1"/>
    <xf numFmtId="0" fontId="33" fillId="0" borderId="0" xfId="62" applyFont="1" applyFill="1" applyAlignment="1">
      <alignment horizontal="center"/>
    </xf>
    <xf numFmtId="1" fontId="3" fillId="7" borderId="7" xfId="62" applyNumberFormat="1" applyFont="1" applyFill="1" applyBorder="1" applyAlignment="1"/>
    <xf numFmtId="0" fontId="0" fillId="0" borderId="0" xfId="0" applyFont="1">
      <alignment vertical="center"/>
    </xf>
    <xf numFmtId="0" fontId="3" fillId="0" borderId="0" xfId="68" applyFont="1"/>
    <xf numFmtId="0" fontId="3" fillId="0" borderId="0" xfId="0" applyFont="1" applyAlignment="1">
      <alignment horizontal="center" vertical="center"/>
    </xf>
    <xf numFmtId="0" fontId="3" fillId="0" borderId="0" xfId="0" applyFont="1">
      <alignment vertical="center"/>
    </xf>
    <xf numFmtId="0" fontId="0" fillId="0" borderId="0" xfId="68" applyFont="1" applyBorder="1"/>
    <xf numFmtId="0" fontId="0" fillId="0" borderId="0" xfId="0" applyFont="1" applyBorder="1">
      <alignment vertical="center"/>
    </xf>
    <xf numFmtId="0" fontId="34" fillId="0" borderId="0" xfId="68" applyFont="1" applyBorder="1" applyAlignment="1">
      <alignment horizontal="center"/>
    </xf>
    <xf numFmtId="0" fontId="33" fillId="0" borderId="0" xfId="68" applyFont="1" applyBorder="1" applyAlignment="1">
      <alignment horizontal="left"/>
    </xf>
    <xf numFmtId="0" fontId="33" fillId="0" borderId="0" xfId="68" applyFont="1" applyBorder="1" applyAlignment="1">
      <alignment horizontal="center"/>
    </xf>
    <xf numFmtId="0" fontId="33" fillId="0" borderId="0" xfId="68" applyFont="1" applyBorder="1" applyAlignment="1">
      <alignment horizontal="right"/>
    </xf>
    <xf numFmtId="0" fontId="3" fillId="0" borderId="0" xfId="68" applyFont="1" applyBorder="1"/>
    <xf numFmtId="0" fontId="4" fillId="6" borderId="7" xfId="68" applyFont="1" applyFill="1" applyBorder="1" applyAlignment="1">
      <alignment horizontal="center"/>
    </xf>
    <xf numFmtId="0" fontId="3" fillId="0" borderId="0" xfId="68" applyFont="1" applyBorder="1" applyAlignment="1">
      <alignment horizontal="center"/>
    </xf>
    <xf numFmtId="0" fontId="3" fillId="6" borderId="7" xfId="68" applyFont="1" applyFill="1" applyBorder="1"/>
    <xf numFmtId="41" fontId="3" fillId="0" borderId="7" xfId="68" applyNumberFormat="1" applyFont="1" applyBorder="1"/>
    <xf numFmtId="41" fontId="3" fillId="7" borderId="7" xfId="68" applyNumberFormat="1" applyFont="1" applyFill="1" applyBorder="1"/>
    <xf numFmtId="0" fontId="3" fillId="0" borderId="7" xfId="68" applyFont="1" applyBorder="1" applyAlignment="1">
      <alignment horizontal="center"/>
    </xf>
    <xf numFmtId="0" fontId="3" fillId="0" borderId="7" xfId="68" applyFont="1" applyBorder="1"/>
    <xf numFmtId="43" fontId="3" fillId="0" borderId="7" xfId="68" applyNumberFormat="1" applyFont="1" applyBorder="1"/>
    <xf numFmtId="43" fontId="3" fillId="7" borderId="7" xfId="68" applyNumberFormat="1" applyFont="1" applyFill="1" applyBorder="1"/>
    <xf numFmtId="43" fontId="3" fillId="0" borderId="7" xfId="68" applyNumberFormat="1" applyFont="1" applyFill="1" applyBorder="1"/>
    <xf numFmtId="10" fontId="3" fillId="7" borderId="7" xfId="68" applyNumberFormat="1" applyFont="1" applyFill="1" applyBorder="1"/>
    <xf numFmtId="0" fontId="3" fillId="6" borderId="7" xfId="68" applyFont="1" applyFill="1" applyBorder="1" applyAlignment="1">
      <alignment horizontal="center"/>
    </xf>
    <xf numFmtId="0" fontId="3" fillId="7" borderId="7" xfId="68" applyFont="1" applyFill="1" applyBorder="1" applyAlignment="1">
      <alignment horizontal="center"/>
    </xf>
    <xf numFmtId="0" fontId="3" fillId="0" borderId="0" xfId="0" applyFont="1" applyBorder="1" applyAlignment="1">
      <alignment horizontal="center" vertical="center"/>
    </xf>
    <xf numFmtId="0" fontId="3" fillId="0" borderId="0" xfId="0" applyFont="1" applyBorder="1">
      <alignment vertical="center"/>
    </xf>
    <xf numFmtId="0" fontId="8" fillId="0" borderId="0" xfId="62" applyFont="1" applyFill="1"/>
    <xf numFmtId="0" fontId="12" fillId="0" borderId="0" xfId="62" applyFont="1" applyFill="1"/>
    <xf numFmtId="0" fontId="6" fillId="0" borderId="0" xfId="62" applyFont="1" applyFill="1"/>
    <xf numFmtId="0" fontId="8" fillId="0" borderId="0" xfId="62" applyFont="1" applyFill="1" applyAlignment="1">
      <alignment vertical="center"/>
    </xf>
    <xf numFmtId="0" fontId="6" fillId="0" borderId="0" xfId="62" applyFont="1" applyFill="1" applyAlignment="1">
      <alignment horizontal="right"/>
    </xf>
    <xf numFmtId="0" fontId="5" fillId="0" borderId="0" xfId="62" applyFont="1" applyFill="1" applyAlignment="1">
      <alignment horizontal="center" vertical="center" textRotation="255" wrapText="1"/>
    </xf>
    <xf numFmtId="0" fontId="7" fillId="6" borderId="18" xfId="62" applyFont="1" applyFill="1" applyBorder="1" applyAlignment="1">
      <alignment horizontal="center" vertical="center"/>
    </xf>
    <xf numFmtId="0" fontId="12" fillId="0" borderId="0" xfId="62" applyFont="1" applyFill="1" applyAlignment="1">
      <alignment vertical="center"/>
    </xf>
    <xf numFmtId="0" fontId="7" fillId="6" borderId="19" xfId="62" applyFont="1" applyFill="1" applyBorder="1" applyAlignment="1">
      <alignment horizontal="center" vertical="center"/>
    </xf>
    <xf numFmtId="0" fontId="7" fillId="6" borderId="0" xfId="62" applyFont="1" applyFill="1" applyAlignment="1">
      <alignment horizontal="center" vertical="center"/>
    </xf>
    <xf numFmtId="0" fontId="7" fillId="6" borderId="20" xfId="62" applyFont="1" applyFill="1" applyBorder="1" applyAlignment="1">
      <alignment horizontal="center" vertical="center"/>
    </xf>
    <xf numFmtId="0" fontId="7" fillId="6" borderId="7" xfId="62" applyFont="1" applyFill="1" applyBorder="1" applyAlignment="1">
      <alignment horizontal="center"/>
    </xf>
    <xf numFmtId="184" fontId="8" fillId="7" borderId="7" xfId="62" applyNumberFormat="1" applyFont="1" applyFill="1" applyBorder="1"/>
    <xf numFmtId="41" fontId="8" fillId="7" borderId="7" xfId="62" applyNumberFormat="1" applyFont="1" applyFill="1" applyBorder="1"/>
    <xf numFmtId="41" fontId="8" fillId="0" borderId="21" xfId="62" applyNumberFormat="1" applyFont="1" applyFill="1" applyBorder="1" applyAlignment="1">
      <alignment vertical="center"/>
    </xf>
    <xf numFmtId="41" fontId="8" fillId="0" borderId="22" xfId="62" applyNumberFormat="1" applyFont="1" applyFill="1" applyBorder="1" applyAlignment="1">
      <alignment vertical="center"/>
    </xf>
    <xf numFmtId="41" fontId="8" fillId="7" borderId="22" xfId="62" applyNumberFormat="1" applyFont="1" applyFill="1" applyBorder="1" applyAlignment="1">
      <alignment vertical="center"/>
    </xf>
    <xf numFmtId="0" fontId="8" fillId="8" borderId="22" xfId="62" applyFont="1" applyFill="1" applyBorder="1" applyAlignment="1">
      <alignment horizontal="center" vertical="center"/>
    </xf>
    <xf numFmtId="10" fontId="8" fillId="0" borderId="22" xfId="62" applyNumberFormat="1" applyFont="1" applyFill="1" applyBorder="1" applyAlignment="1">
      <alignment horizontal="center" vertical="center"/>
    </xf>
    <xf numFmtId="0" fontId="8" fillId="6" borderId="22" xfId="62" applyFont="1" applyFill="1" applyBorder="1" applyAlignment="1">
      <alignment vertical="center"/>
    </xf>
    <xf numFmtId="41" fontId="8" fillId="0" borderId="22" xfId="62" applyNumberFormat="1" applyFont="1" applyFill="1" applyBorder="1" applyAlignment="1">
      <alignment horizontal="center" vertical="center"/>
    </xf>
    <xf numFmtId="0" fontId="8" fillId="7" borderId="22" xfId="62" applyFont="1" applyFill="1" applyBorder="1" applyAlignment="1">
      <alignment horizontal="center" vertical="center"/>
    </xf>
    <xf numFmtId="41" fontId="8" fillId="7" borderId="23" xfId="62" applyNumberFormat="1" applyFont="1" applyFill="1" applyBorder="1" applyAlignment="1">
      <alignment vertical="center"/>
    </xf>
    <xf numFmtId="41" fontId="8" fillId="6" borderId="7" xfId="62" applyNumberFormat="1" applyFont="1" applyFill="1" applyBorder="1"/>
    <xf numFmtId="1" fontId="8" fillId="7" borderId="7" xfId="62" applyNumberFormat="1" applyFont="1" applyFill="1" applyBorder="1"/>
    <xf numFmtId="0" fontId="0" fillId="0" borderId="0" xfId="0" applyAlignment="1">
      <alignment vertical="center"/>
    </xf>
    <xf numFmtId="0" fontId="5" fillId="5" borderId="0" xfId="0" applyFont="1" applyFill="1" applyBorder="1" applyAlignment="1">
      <alignment horizontal="center" vertical="center"/>
    </xf>
    <xf numFmtId="0" fontId="6" fillId="0" borderId="0" xfId="0" applyFont="1" applyBorder="1" applyAlignment="1">
      <alignment horizontal="left"/>
    </xf>
    <xf numFmtId="0" fontId="6" fillId="0" borderId="0" xfId="0" applyFont="1" applyBorder="1" applyAlignment="1">
      <alignment horizontal="right"/>
    </xf>
    <xf numFmtId="0" fontId="7" fillId="6" borderId="2" xfId="59" applyFont="1" applyFill="1" applyBorder="1" applyAlignment="1">
      <alignment horizontal="center" vertical="center"/>
    </xf>
    <xf numFmtId="0" fontId="7" fillId="6" borderId="7" xfId="59" applyFont="1" applyFill="1" applyBorder="1" applyAlignment="1">
      <alignment horizontal="center" vertical="center"/>
    </xf>
    <xf numFmtId="0" fontId="7" fillId="6" borderId="7" xfId="0" applyFont="1" applyFill="1" applyBorder="1" applyAlignment="1">
      <alignment horizontal="center" vertical="center"/>
    </xf>
    <xf numFmtId="0" fontId="8" fillId="6" borderId="2" xfId="59" applyFont="1" applyFill="1" applyBorder="1" applyAlignment="1">
      <alignment horizontal="left" vertical="center"/>
    </xf>
    <xf numFmtId="0" fontId="8" fillId="0" borderId="7" xfId="60" applyFont="1" applyBorder="1" applyAlignment="1">
      <alignment horizontal="center" vertical="center"/>
    </xf>
    <xf numFmtId="0" fontId="8" fillId="0" borderId="7" xfId="0" applyFont="1" applyBorder="1" applyAlignment="1">
      <alignment horizontal="center" vertical="center"/>
    </xf>
    <xf numFmtId="0" fontId="6" fillId="0" borderId="7" xfId="60" applyFont="1" applyBorder="1" applyAlignment="1">
      <alignment horizontal="center" vertical="center"/>
    </xf>
    <xf numFmtId="0" fontId="6" fillId="0" borderId="7" xfId="0" applyFont="1" applyBorder="1" applyAlignment="1">
      <alignment horizontal="center" vertical="center"/>
    </xf>
    <xf numFmtId="43" fontId="8" fillId="0" borderId="7" xfId="60" applyNumberFormat="1" applyFont="1" applyBorder="1" applyAlignment="1">
      <alignment horizontal="center" vertical="center"/>
    </xf>
    <xf numFmtId="43" fontId="8" fillId="0" borderId="7" xfId="0" applyNumberFormat="1" applyFont="1" applyFill="1" applyBorder="1" applyAlignment="1">
      <alignment horizontal="center" vertical="center"/>
    </xf>
    <xf numFmtId="0" fontId="8" fillId="0" borderId="7" xfId="0" applyFont="1" applyFill="1" applyBorder="1" applyAlignment="1">
      <alignment horizontal="center" vertical="center"/>
    </xf>
    <xf numFmtId="0" fontId="8" fillId="7" borderId="7" xfId="60" applyFont="1" applyFill="1" applyBorder="1" applyAlignment="1">
      <alignment horizontal="center" vertical="center"/>
    </xf>
    <xf numFmtId="10" fontId="8" fillId="0" borderId="7" xfId="60" applyNumberFormat="1" applyFont="1" applyFill="1" applyBorder="1" applyAlignment="1">
      <alignment horizontal="center" vertical="center"/>
    </xf>
    <xf numFmtId="43" fontId="8" fillId="7" borderId="7" xfId="60" applyNumberFormat="1" applyFont="1" applyFill="1" applyBorder="1" applyAlignment="1">
      <alignment horizontal="center" vertical="center"/>
    </xf>
    <xf numFmtId="0" fontId="0" fillId="0" borderId="0" xfId="0" applyFont="1" applyAlignment="1">
      <alignment vertical="center"/>
    </xf>
    <xf numFmtId="0" fontId="8" fillId="0" borderId="0" xfId="0" applyFont="1" applyFill="1">
      <alignment vertical="center"/>
    </xf>
    <xf numFmtId="0" fontId="8" fillId="0" borderId="0" xfId="0" applyFont="1" applyFill="1" applyBorder="1">
      <alignment vertical="center"/>
    </xf>
    <xf numFmtId="0" fontId="6" fillId="0" borderId="0" xfId="0" applyFont="1" applyFill="1" applyBorder="1" applyAlignment="1">
      <alignment horizontal="left" vertical="center"/>
    </xf>
    <xf numFmtId="0" fontId="6" fillId="0" borderId="0" xfId="0" applyFont="1" applyFill="1" applyBorder="1" applyAlignment="1">
      <alignment horizontal="right" vertical="center"/>
    </xf>
    <xf numFmtId="0" fontId="7" fillId="6" borderId="1" xfId="0" applyFont="1" applyFill="1" applyBorder="1" applyAlignment="1">
      <alignment horizontal="center" vertical="center"/>
    </xf>
    <xf numFmtId="0" fontId="8" fillId="0" borderId="7" xfId="63" applyFont="1" applyFill="1" applyBorder="1" applyAlignment="1">
      <alignment vertical="center"/>
    </xf>
    <xf numFmtId="179" fontId="8" fillId="0" borderId="7" xfId="63" applyNumberFormat="1" applyFont="1" applyFill="1" applyBorder="1" applyAlignment="1">
      <alignment horizontal="center"/>
    </xf>
    <xf numFmtId="0" fontId="8" fillId="0" borderId="7" xfId="63" applyFont="1" applyBorder="1" applyAlignment="1">
      <alignment horizontal="center" vertical="center"/>
    </xf>
    <xf numFmtId="0" fontId="8" fillId="0" borderId="0" xfId="63" applyFont="1" applyFill="1" applyBorder="1" applyAlignment="1">
      <alignment vertical="center"/>
    </xf>
    <xf numFmtId="43" fontId="8" fillId="0" borderId="7" xfId="63" applyNumberFormat="1" applyFont="1" applyFill="1" applyBorder="1"/>
    <xf numFmtId="0" fontId="8" fillId="6" borderId="7" xfId="63" applyFont="1" applyFill="1" applyBorder="1"/>
    <xf numFmtId="0" fontId="8" fillId="0" borderId="0" xfId="63" applyFont="1" applyFill="1" applyBorder="1"/>
    <xf numFmtId="0" fontId="8" fillId="0" borderId="7" xfId="63" applyFont="1" applyFill="1" applyBorder="1"/>
    <xf numFmtId="0" fontId="8" fillId="0" borderId="7" xfId="63" applyFont="1" applyFill="1" applyBorder="1" applyAlignment="1">
      <alignment horizontal="center"/>
    </xf>
    <xf numFmtId="43" fontId="8" fillId="7" borderId="7" xfId="63" applyNumberFormat="1" applyFont="1" applyFill="1" applyBorder="1"/>
    <xf numFmtId="0" fontId="8" fillId="0" borderId="7" xfId="63" applyFont="1" applyFill="1" applyBorder="1" applyAlignment="1">
      <alignment horizontal="center" vertical="center"/>
    </xf>
    <xf numFmtId="179" fontId="8" fillId="7" borderId="7" xfId="63" applyNumberFormat="1" applyFont="1" applyFill="1" applyBorder="1" applyAlignment="1">
      <alignment horizontal="center"/>
    </xf>
    <xf numFmtId="0" fontId="8" fillId="0" borderId="7" xfId="63" applyFont="1" applyFill="1" applyBorder="1" applyAlignment="1">
      <alignment horizontal="center" vertical="center" wrapText="1"/>
    </xf>
    <xf numFmtId="0" fontId="8" fillId="6" borderId="5" xfId="63" applyFont="1" applyFill="1" applyBorder="1"/>
    <xf numFmtId="179" fontId="8" fillId="0" borderId="0" xfId="63" applyNumberFormat="1" applyFont="1" applyFill="1" applyBorder="1"/>
    <xf numFmtId="0" fontId="7" fillId="6" borderId="7" xfId="63" applyFont="1" applyFill="1" applyBorder="1" applyAlignment="1">
      <alignment horizontal="center"/>
    </xf>
    <xf numFmtId="43" fontId="8" fillId="7" borderId="7" xfId="63" applyNumberFormat="1" applyFont="1" applyFill="1" applyBorder="1" applyAlignment="1">
      <alignment horizontal="right"/>
    </xf>
    <xf numFmtId="43" fontId="8" fillId="0" borderId="7" xfId="63" applyNumberFormat="1" applyFont="1" applyFill="1" applyBorder="1" applyAlignment="1">
      <alignment horizontal="right"/>
    </xf>
    <xf numFmtId="0" fontId="12" fillId="0" borderId="0" xfId="53" applyFont="1"/>
    <xf numFmtId="0" fontId="36" fillId="5" borderId="0" xfId="53" applyFont="1" applyFill="1" applyAlignment="1">
      <alignment horizontal="center"/>
    </xf>
    <xf numFmtId="0" fontId="5" fillId="0" borderId="0" xfId="53" applyFont="1" applyAlignment="1">
      <alignment horizontal="center" vertical="center"/>
    </xf>
    <xf numFmtId="0" fontId="16" fillId="0" borderId="0" xfId="53" applyFont="1"/>
    <xf numFmtId="0" fontId="37" fillId="0" borderId="0" xfId="53" applyFont="1" applyAlignment="1">
      <alignment horizontal="center" vertical="center"/>
    </xf>
    <xf numFmtId="0" fontId="38" fillId="0" borderId="0" xfId="53" applyFont="1" applyAlignment="1">
      <alignment horizontal="center"/>
    </xf>
    <xf numFmtId="57" fontId="16" fillId="0" borderId="0" xfId="53" applyNumberFormat="1" applyFont="1" applyAlignment="1">
      <alignment horizontal="center"/>
    </xf>
    <xf numFmtId="57" fontId="16" fillId="6" borderId="7" xfId="53" applyNumberFormat="1" applyFont="1" applyFill="1" applyBorder="1" applyAlignment="1">
      <alignment horizontal="center"/>
    </xf>
    <xf numFmtId="0" fontId="16" fillId="6" borderId="7" xfId="53" applyFont="1" applyFill="1" applyBorder="1" applyAlignment="1">
      <alignment horizontal="center" vertical="center"/>
    </xf>
    <xf numFmtId="0" fontId="12" fillId="0" borderId="7" xfId="53" applyFont="1" applyBorder="1"/>
    <xf numFmtId="43" fontId="12" fillId="7" borderId="7" xfId="53" applyNumberFormat="1" applyFont="1" applyFill="1" applyBorder="1"/>
    <xf numFmtId="10" fontId="12" fillId="7" borderId="7" xfId="53" applyNumberFormat="1" applyFont="1" applyFill="1" applyBorder="1"/>
    <xf numFmtId="10" fontId="12" fillId="0" borderId="7" xfId="53" applyNumberFormat="1" applyFont="1" applyBorder="1"/>
    <xf numFmtId="43" fontId="12" fillId="0" borderId="7" xfId="53" applyNumberFormat="1" applyFont="1" applyFill="1" applyBorder="1"/>
    <xf numFmtId="179" fontId="12" fillId="0" borderId="7" xfId="53" applyNumberFormat="1" applyFont="1" applyBorder="1"/>
    <xf numFmtId="0" fontId="20" fillId="0" borderId="7" xfId="53" applyFont="1" applyBorder="1"/>
    <xf numFmtId="43" fontId="39" fillId="0" borderId="7" xfId="53" applyNumberFormat="1" applyFont="1" applyBorder="1"/>
    <xf numFmtId="0" fontId="33" fillId="0" borderId="0" xfId="0" applyFont="1" applyFill="1">
      <alignment vertical="center"/>
    </xf>
    <xf numFmtId="0" fontId="40" fillId="0" borderId="0" xfId="0" applyFont="1">
      <alignment vertical="center"/>
    </xf>
    <xf numFmtId="0" fontId="0" fillId="0" borderId="0" xfId="0" applyFont="1" applyFill="1">
      <alignment vertical="center"/>
    </xf>
    <xf numFmtId="0" fontId="8" fillId="0" borderId="0" xfId="0" applyFont="1">
      <alignment vertical="center"/>
    </xf>
    <xf numFmtId="0" fontId="6" fillId="0" borderId="0" xfId="0" applyFont="1" applyFill="1">
      <alignment vertical="center"/>
    </xf>
    <xf numFmtId="0" fontId="6" fillId="0" borderId="0" xfId="0" applyFont="1" applyFill="1" applyAlignment="1">
      <alignment horizontal="center" vertical="center"/>
    </xf>
    <xf numFmtId="0" fontId="7" fillId="6" borderId="7" xfId="64" applyFont="1" applyFill="1" applyBorder="1" applyAlignment="1">
      <alignment horizontal="center"/>
    </xf>
    <xf numFmtId="0" fontId="8" fillId="6" borderId="7" xfId="64" applyFont="1" applyFill="1" applyBorder="1"/>
    <xf numFmtId="43" fontId="8" fillId="0" borderId="7" xfId="64" applyNumberFormat="1" applyFont="1" applyBorder="1"/>
    <xf numFmtId="0" fontId="12" fillId="0" borderId="7" xfId="64" applyFont="1" applyBorder="1"/>
    <xf numFmtId="0" fontId="8" fillId="0" borderId="7" xfId="64" applyFont="1" applyBorder="1" applyAlignment="1">
      <alignment horizontal="center"/>
    </xf>
    <xf numFmtId="0" fontId="8" fillId="7" borderId="7" xfId="64" applyFont="1" applyFill="1" applyBorder="1" applyAlignment="1">
      <alignment horizontal="center"/>
    </xf>
    <xf numFmtId="43" fontId="8" fillId="7" borderId="7" xfId="64" applyNumberFormat="1" applyFont="1" applyFill="1" applyBorder="1"/>
    <xf numFmtId="0" fontId="41" fillId="7" borderId="7" xfId="0" applyFont="1" applyFill="1" applyBorder="1" applyAlignment="1">
      <alignment horizontal="center" vertical="center"/>
    </xf>
    <xf numFmtId="0" fontId="42" fillId="0" borderId="0" xfId="0" applyFont="1" applyFill="1">
      <alignment vertical="center"/>
    </xf>
    <xf numFmtId="10" fontId="8" fillId="0" borderId="7" xfId="64" applyNumberFormat="1" applyFont="1" applyFill="1" applyBorder="1" applyAlignment="1">
      <alignment horizontal="center"/>
    </xf>
    <xf numFmtId="0" fontId="8" fillId="0" borderId="7" xfId="64" applyFont="1" applyFill="1" applyBorder="1"/>
    <xf numFmtId="43" fontId="6" fillId="7" borderId="7" xfId="64" applyNumberFormat="1" applyFont="1" applyFill="1" applyBorder="1"/>
    <xf numFmtId="43" fontId="8" fillId="7" borderId="7" xfId="64" applyNumberFormat="1" applyFont="1" applyFill="1" applyBorder="1" applyAlignment="1"/>
    <xf numFmtId="43" fontId="8" fillId="7" borderId="7" xfId="64" applyNumberFormat="1" applyFont="1" applyFill="1" applyBorder="1" applyAlignment="1">
      <alignment horizontal="center"/>
    </xf>
    <xf numFmtId="0" fontId="8" fillId="0" borderId="7" xfId="0" applyFont="1" applyFill="1" applyBorder="1">
      <alignment vertical="center"/>
    </xf>
    <xf numFmtId="0" fontId="8" fillId="7" borderId="7" xfId="64" applyNumberFormat="1" applyFont="1" applyFill="1" applyBorder="1" applyAlignment="1">
      <alignment horizontal="center"/>
    </xf>
    <xf numFmtId="0" fontId="8" fillId="16" borderId="7" xfId="64" applyFont="1" applyFill="1" applyBorder="1" applyAlignment="1">
      <alignment horizontal="center"/>
    </xf>
    <xf numFmtId="43" fontId="8" fillId="0" borderId="7" xfId="64" applyNumberFormat="1" applyFont="1" applyFill="1" applyBorder="1"/>
    <xf numFmtId="0" fontId="8" fillId="6" borderId="7" xfId="0" applyFont="1" applyFill="1" applyBorder="1">
      <alignment vertical="center"/>
    </xf>
    <xf numFmtId="0" fontId="7" fillId="0" borderId="7" xfId="0" applyFont="1" applyFill="1" applyBorder="1" applyAlignment="1">
      <alignment horizontal="left" vertical="center"/>
    </xf>
    <xf numFmtId="0" fontId="42"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12" fillId="0" borderId="0" xfId="0" applyFont="1">
      <alignment vertical="center"/>
    </xf>
    <xf numFmtId="0" fontId="6" fillId="0" borderId="0" xfId="0" applyFont="1" applyAlignment="1">
      <alignment horizontal="left" vertical="center"/>
    </xf>
    <xf numFmtId="0" fontId="6" fillId="0" borderId="0" xfId="0" applyFont="1" applyAlignment="1">
      <alignment horizontal="center" vertical="center"/>
    </xf>
    <xf numFmtId="10" fontId="7" fillId="0" borderId="7" xfId="0" applyNumberFormat="1" applyFont="1" applyFill="1" applyBorder="1" applyAlignment="1">
      <alignment horizontal="center" vertical="center"/>
    </xf>
    <xf numFmtId="10" fontId="7" fillId="0" borderId="2" xfId="0" applyNumberFormat="1" applyFont="1" applyFill="1" applyBorder="1" applyAlignment="1">
      <alignment horizontal="center" vertical="center"/>
    </xf>
    <xf numFmtId="0" fontId="12" fillId="6" borderId="7" xfId="0" applyFont="1" applyFill="1" applyBorder="1">
      <alignment vertical="center"/>
    </xf>
    <xf numFmtId="0" fontId="7" fillId="6" borderId="2" xfId="0" applyFont="1" applyFill="1" applyBorder="1" applyAlignment="1">
      <alignment horizontal="center" vertical="center"/>
    </xf>
    <xf numFmtId="43" fontId="8" fillId="0" borderId="7" xfId="0" applyNumberFormat="1" applyFont="1" applyBorder="1">
      <alignment vertical="center"/>
    </xf>
    <xf numFmtId="0" fontId="8" fillId="0" borderId="7" xfId="0" applyFont="1" applyBorder="1">
      <alignment vertical="center"/>
    </xf>
    <xf numFmtId="43" fontId="8" fillId="7" borderId="7" xfId="0" applyNumberFormat="1" applyFont="1" applyFill="1" applyBorder="1">
      <alignment vertical="center"/>
    </xf>
    <xf numFmtId="43" fontId="8" fillId="0" borderId="0" xfId="0" applyNumberFormat="1" applyFont="1">
      <alignment vertical="center"/>
    </xf>
    <xf numFmtId="8" fontId="12" fillId="0" borderId="0" xfId="0" applyNumberFormat="1" applyFont="1">
      <alignment vertical="center"/>
    </xf>
    <xf numFmtId="10" fontId="8" fillId="7" borderId="7" xfId="0" applyNumberFormat="1" applyFont="1" applyFill="1" applyBorder="1">
      <alignment vertical="center"/>
    </xf>
    <xf numFmtId="0" fontId="7" fillId="0" borderId="7" xfId="0" applyFont="1" applyBorder="1" applyAlignment="1">
      <alignment horizontal="left" vertical="center"/>
    </xf>
    <xf numFmtId="0" fontId="8" fillId="0" borderId="0" xfId="0" applyFont="1" applyAlignment="1">
      <alignment horizontal="center" vertical="center"/>
    </xf>
    <xf numFmtId="0" fontId="6" fillId="0" borderId="0" xfId="0" applyFont="1" applyFill="1" applyBorder="1">
      <alignment vertical="center"/>
    </xf>
    <xf numFmtId="0" fontId="8" fillId="6" borderId="7" xfId="0" applyFont="1" applyFill="1" applyBorder="1" applyAlignment="1">
      <alignment horizontal="center" vertical="center"/>
    </xf>
    <xf numFmtId="43" fontId="8" fillId="7" borderId="7" xfId="0" applyNumberFormat="1" applyFont="1" applyFill="1" applyBorder="1" applyAlignment="1">
      <alignment horizontal="center" vertical="center"/>
    </xf>
    <xf numFmtId="43" fontId="8" fillId="6" borderId="7" xfId="0" applyNumberFormat="1" applyFont="1" applyFill="1" applyBorder="1" applyAlignment="1">
      <alignment horizontal="center" vertical="center"/>
    </xf>
    <xf numFmtId="0" fontId="8" fillId="6" borderId="9" xfId="0" applyFont="1" applyFill="1" applyBorder="1" applyAlignment="1">
      <alignment horizontal="center" vertical="center"/>
    </xf>
    <xf numFmtId="0" fontId="8" fillId="6" borderId="24" xfId="0" applyFont="1" applyFill="1" applyBorder="1" applyAlignment="1">
      <alignment horizontal="center" vertical="center"/>
    </xf>
    <xf numFmtId="43" fontId="8" fillId="7" borderId="1" xfId="0" applyNumberFormat="1" applyFont="1" applyFill="1" applyBorder="1" applyAlignment="1">
      <alignment horizontal="center" vertical="center"/>
    </xf>
    <xf numFmtId="0" fontId="8" fillId="0" borderId="0" xfId="0" applyFont="1" applyBorder="1">
      <alignment vertical="center"/>
    </xf>
    <xf numFmtId="43" fontId="8" fillId="7" borderId="4" xfId="0" applyNumberFormat="1" applyFont="1" applyFill="1" applyBorder="1" applyAlignment="1">
      <alignment horizontal="center" vertical="center"/>
    </xf>
    <xf numFmtId="0" fontId="8" fillId="6" borderId="7" xfId="0" applyFont="1" applyFill="1" applyBorder="1" applyAlignment="1">
      <alignment horizontal="center" vertical="center" wrapText="1"/>
    </xf>
    <xf numFmtId="0" fontId="8" fillId="0" borderId="0" xfId="0" applyFont="1" applyBorder="1" applyAlignment="1">
      <alignment horizontal="center" vertical="center" wrapText="1"/>
    </xf>
    <xf numFmtId="10" fontId="8" fillId="7" borderId="7" xfId="0" applyNumberFormat="1" applyFont="1" applyFill="1" applyBorder="1" applyAlignment="1">
      <alignment horizontal="center" vertical="center"/>
    </xf>
    <xf numFmtId="9" fontId="8" fillId="0" borderId="7" xfId="0" applyNumberFormat="1" applyFont="1" applyBorder="1" applyAlignment="1">
      <alignment horizontal="center" vertical="center"/>
    </xf>
    <xf numFmtId="43" fontId="8" fillId="0" borderId="5" xfId="0" applyNumberFormat="1" applyFont="1" applyFill="1" applyBorder="1" applyAlignment="1">
      <alignment horizontal="center" vertical="center"/>
    </xf>
    <xf numFmtId="43" fontId="8" fillId="0" borderId="0" xfId="0" applyNumberFormat="1" applyFont="1" applyFill="1" applyAlignment="1">
      <alignment horizontal="center" vertical="center"/>
    </xf>
    <xf numFmtId="0" fontId="8" fillId="0" borderId="5" xfId="0" applyFont="1" applyBorder="1" applyAlignment="1">
      <alignment horizontal="center" vertical="center"/>
    </xf>
    <xf numFmtId="43" fontId="8" fillId="7" borderId="5" xfId="0" applyNumberFormat="1" applyFont="1" applyFill="1" applyBorder="1" applyAlignment="1">
      <alignment horizontal="center" vertical="center"/>
    </xf>
    <xf numFmtId="0" fontId="8" fillId="0" borderId="0" xfId="0" applyFont="1" applyBorder="1" applyAlignment="1">
      <alignment horizontal="center" vertical="center"/>
    </xf>
    <xf numFmtId="0" fontId="8" fillId="6" borderId="6" xfId="0" applyFont="1" applyFill="1" applyBorder="1" applyAlignment="1">
      <alignment horizontal="center" vertical="center" wrapText="1"/>
    </xf>
    <xf numFmtId="0" fontId="8" fillId="0" borderId="0" xfId="0" applyFont="1" applyAlignment="1">
      <alignment horizontal="center" vertical="center" wrapText="1"/>
    </xf>
    <xf numFmtId="0" fontId="16" fillId="0" borderId="0" xfId="0" applyFont="1" applyBorder="1" applyAlignment="1">
      <alignment horizontal="left" vertical="center"/>
    </xf>
    <xf numFmtId="0" fontId="16" fillId="0" borderId="0" xfId="0" applyFont="1" applyAlignment="1">
      <alignment horizontal="left" vertical="center" wrapText="1"/>
    </xf>
    <xf numFmtId="0" fontId="43" fillId="5" borderId="0" xfId="0" applyFont="1" applyFill="1" applyAlignment="1">
      <alignment horizontal="center" vertical="center"/>
    </xf>
    <xf numFmtId="0" fontId="44" fillId="0" borderId="7" xfId="0" applyFont="1" applyBorder="1" applyAlignment="1">
      <alignment horizontal="left" vertical="center"/>
    </xf>
    <xf numFmtId="0" fontId="10" fillId="0" borderId="7" xfId="0" applyFont="1" applyBorder="1" applyAlignment="1">
      <alignment horizontal="left" vertical="center"/>
    </xf>
    <xf numFmtId="0" fontId="44" fillId="0" borderId="6" xfId="0" applyFont="1" applyBorder="1" applyAlignment="1">
      <alignment horizontal="left" vertical="center"/>
    </xf>
    <xf numFmtId="0" fontId="44" fillId="0" borderId="7" xfId="0" applyFont="1" applyBorder="1" applyAlignment="1">
      <alignment horizontal="left" vertical="center" wrapText="1"/>
    </xf>
    <xf numFmtId="0" fontId="41" fillId="0" borderId="0" xfId="0" applyFont="1" applyAlignment="1">
      <alignment horizontal="center" vertical="center"/>
    </xf>
    <xf numFmtId="0" fontId="45" fillId="0" borderId="7" xfId="0" applyFont="1" applyBorder="1" applyAlignment="1">
      <alignment vertical="center" wrapText="1"/>
    </xf>
    <xf numFmtId="0" fontId="45" fillId="0" borderId="7" xfId="0" applyFont="1" applyBorder="1">
      <alignment vertical="center"/>
    </xf>
    <xf numFmtId="0" fontId="45" fillId="0" borderId="7" xfId="0" applyFont="1" applyBorder="1" applyAlignment="1">
      <alignment horizontal="center" vertical="center"/>
    </xf>
    <xf numFmtId="9" fontId="6" fillId="0" borderId="0" xfId="0" applyNumberFormat="1" applyFont="1" applyFill="1" applyAlignment="1" applyProtection="1">
      <alignment horizontal="left"/>
    </xf>
    <xf numFmtId="0" fontId="5" fillId="0" borderId="0" xfId="0" applyFont="1" applyFill="1" applyAlignment="1" applyProtection="1">
      <alignment horizontal="center" vertical="center"/>
    </xf>
    <xf numFmtId="0" fontId="7" fillId="6" borderId="7" xfId="0" applyFont="1" applyFill="1" applyBorder="1" applyAlignment="1" applyProtection="1">
      <alignment horizontal="center" vertical="center" wrapText="1"/>
    </xf>
    <xf numFmtId="0" fontId="7" fillId="6" borderId="7" xfId="0" applyFont="1" applyFill="1" applyBorder="1" applyAlignment="1" applyProtection="1">
      <alignment vertical="center"/>
    </xf>
    <xf numFmtId="0" fontId="8" fillId="6" borderId="7" xfId="0" applyFont="1" applyFill="1" applyBorder="1" applyAlignment="1" applyProtection="1">
      <alignment vertical="center"/>
    </xf>
    <xf numFmtId="181" fontId="8" fillId="6" borderId="7" xfId="0" applyNumberFormat="1" applyFont="1" applyFill="1" applyBorder="1" applyAlignment="1" applyProtection="1">
      <alignment horizontal="right" vertical="center"/>
    </xf>
    <xf numFmtId="181" fontId="9" fillId="6" borderId="7" xfId="0" applyNumberFormat="1" applyFont="1" applyFill="1" applyBorder="1" applyAlignment="1" applyProtection="1">
      <alignment horizontal="right" vertical="center"/>
    </xf>
    <xf numFmtId="0" fontId="10" fillId="6" borderId="7" xfId="0" applyFont="1" applyFill="1" applyBorder="1" applyAlignment="1" applyProtection="1">
      <alignment vertical="center"/>
    </xf>
    <xf numFmtId="0" fontId="8" fillId="6" borderId="7" xfId="0" applyFont="1" applyFill="1" applyBorder="1" applyAlignment="1" applyProtection="1">
      <alignment vertical="center" wrapText="1"/>
    </xf>
    <xf numFmtId="181" fontId="9" fillId="0" borderId="7" xfId="0" applyNumberFormat="1" applyFont="1" applyFill="1" applyBorder="1" applyAlignment="1" applyProtection="1">
      <alignment horizontal="right" vertical="center"/>
    </xf>
    <xf numFmtId="181" fontId="9" fillId="0" borderId="7" xfId="0" applyNumberFormat="1" applyFont="1" applyFill="1" applyBorder="1" applyAlignment="1" applyProtection="1">
      <alignment horizontal="right" vertical="center"/>
      <protection locked="0"/>
    </xf>
    <xf numFmtId="0" fontId="11" fillId="6" borderId="7" xfId="0" applyFont="1" applyFill="1" applyBorder="1" applyAlignment="1" applyProtection="1">
      <alignment vertical="center"/>
    </xf>
    <xf numFmtId="0" fontId="8" fillId="7" borderId="7" xfId="0" applyNumberFormat="1" applyFont="1" applyFill="1" applyBorder="1" applyAlignment="1" applyProtection="1">
      <alignment horizontal="right" vertical="center" wrapText="1"/>
      <protection locked="0"/>
    </xf>
    <xf numFmtId="181" fontId="8" fillId="0" borderId="7" xfId="0" applyNumberFormat="1" applyFont="1" applyFill="1" applyBorder="1" applyAlignment="1" applyProtection="1">
      <alignment horizontal="right" vertical="center" wrapText="1"/>
      <protection locked="0"/>
    </xf>
    <xf numFmtId="0" fontId="46" fillId="6" borderId="7" xfId="0" applyFont="1" applyFill="1" applyBorder="1" applyAlignment="1" applyProtection="1">
      <alignment vertical="center"/>
    </xf>
    <xf numFmtId="0" fontId="47" fillId="0" borderId="0" xfId="44" applyFont="1"/>
    <xf numFmtId="0" fontId="6" fillId="0" borderId="0" xfId="44" applyFont="1"/>
    <xf numFmtId="0" fontId="7" fillId="0" borderId="0" xfId="44" applyFont="1" applyAlignment="1">
      <alignment horizontal="center"/>
    </xf>
    <xf numFmtId="0" fontId="8" fillId="0" borderId="0" xfId="44" applyFont="1"/>
    <xf numFmtId="0" fontId="8" fillId="0" borderId="0" xfId="44" applyFont="1" applyFill="1"/>
    <xf numFmtId="0" fontId="48" fillId="0" borderId="0" xfId="44"/>
    <xf numFmtId="0" fontId="49" fillId="5" borderId="0" xfId="44" applyFont="1" applyFill="1" applyAlignment="1">
      <alignment horizontal="center"/>
    </xf>
    <xf numFmtId="187" fontId="6" fillId="0" borderId="0" xfId="44" applyNumberFormat="1" applyFont="1" applyAlignment="1">
      <alignment horizontal="center" vertical="center"/>
    </xf>
    <xf numFmtId="0" fontId="6" fillId="0" borderId="0" xfId="44" applyFont="1" applyAlignment="1">
      <alignment horizontal="right" vertical="center"/>
    </xf>
    <xf numFmtId="0" fontId="50" fillId="6" borderId="7" xfId="44" applyFont="1" applyFill="1" applyBorder="1" applyAlignment="1">
      <alignment horizontal="center" vertical="center" wrapText="1"/>
    </xf>
    <xf numFmtId="0" fontId="50" fillId="6" borderId="7" xfId="44" applyFont="1" applyFill="1" applyBorder="1" applyAlignment="1">
      <alignment vertical="center" wrapText="1"/>
    </xf>
    <xf numFmtId="0" fontId="51" fillId="6" borderId="7" xfId="44" applyFont="1" applyFill="1" applyBorder="1" applyAlignment="1">
      <alignment horizontal="center" vertical="center" wrapText="1"/>
    </xf>
    <xf numFmtId="0" fontId="51" fillId="7" borderId="7" xfId="44" applyFont="1" applyFill="1" applyBorder="1" applyAlignment="1">
      <alignment vertical="center" wrapText="1"/>
    </xf>
    <xf numFmtId="43" fontId="51" fillId="7" borderId="7" xfId="44" applyNumberFormat="1" applyFont="1" applyFill="1" applyBorder="1" applyAlignment="1">
      <alignment horizontal="center" vertical="center" wrapText="1"/>
    </xf>
    <xf numFmtId="0" fontId="51" fillId="0" borderId="7" xfId="44" applyFont="1" applyBorder="1" applyAlignment="1">
      <alignment vertical="center" wrapText="1"/>
    </xf>
    <xf numFmtId="10" fontId="51" fillId="7" borderId="7" xfId="44" applyNumberFormat="1" applyFont="1" applyFill="1" applyBorder="1" applyAlignment="1">
      <alignment horizontal="center" vertical="center" wrapText="1"/>
    </xf>
    <xf numFmtId="0" fontId="52" fillId="0" borderId="0" xfId="44" applyFont="1" applyAlignment="1">
      <alignment vertical="center"/>
    </xf>
    <xf numFmtId="0" fontId="6" fillId="0" borderId="0" xfId="42" applyFont="1" applyFill="1" applyAlignment="1"/>
    <xf numFmtId="0" fontId="7" fillId="0" borderId="0" xfId="42" applyFont="1" applyFill="1" applyAlignment="1"/>
    <xf numFmtId="0" fontId="8" fillId="0" borderId="0" xfId="42" applyFont="1" applyFill="1" applyAlignment="1"/>
    <xf numFmtId="0" fontId="49" fillId="5" borderId="0" xfId="42" applyFont="1" applyFill="1" applyAlignment="1">
      <alignment horizontal="center" vertical="center"/>
    </xf>
    <xf numFmtId="31" fontId="6" fillId="0" borderId="0" xfId="42" applyNumberFormat="1" applyFont="1" applyFill="1" applyAlignment="1">
      <alignment horizontal="center"/>
    </xf>
    <xf numFmtId="0" fontId="6" fillId="0" borderId="0" xfId="42" applyFont="1" applyFill="1" applyAlignment="1">
      <alignment horizontal="right"/>
    </xf>
    <xf numFmtId="0" fontId="50" fillId="6" borderId="7" xfId="42" applyFont="1" applyFill="1" applyBorder="1" applyAlignment="1">
      <alignment horizontal="center" vertical="center" wrapText="1"/>
    </xf>
    <xf numFmtId="0" fontId="51" fillId="6" borderId="7" xfId="42" applyFont="1" applyFill="1" applyBorder="1" applyAlignment="1">
      <alignment vertical="center" wrapText="1"/>
    </xf>
    <xf numFmtId="0" fontId="51" fillId="6" borderId="7" xfId="42" applyFont="1" applyFill="1" applyBorder="1" applyAlignment="1">
      <alignment horizontal="center" vertical="center" wrapText="1"/>
    </xf>
    <xf numFmtId="0" fontId="51" fillId="0" borderId="7" xfId="42" applyFont="1" applyFill="1" applyBorder="1" applyAlignment="1">
      <alignment vertical="center" wrapText="1"/>
    </xf>
    <xf numFmtId="43" fontId="51" fillId="7" borderId="7" xfId="42" applyNumberFormat="1" applyFont="1" applyFill="1" applyBorder="1" applyAlignment="1">
      <alignment horizontal="center" vertical="center" wrapText="1"/>
    </xf>
    <xf numFmtId="0" fontId="8" fillId="0" borderId="7" xfId="42" applyFont="1" applyFill="1" applyBorder="1" applyAlignment="1">
      <alignment vertical="center"/>
    </xf>
    <xf numFmtId="0" fontId="51" fillId="7" borderId="7" xfId="42" applyFont="1" applyFill="1" applyBorder="1" applyAlignment="1">
      <alignment horizontal="center" vertical="center" wrapText="1"/>
    </xf>
    <xf numFmtId="43" fontId="51" fillId="6" borderId="7" xfId="42" applyNumberFormat="1" applyFont="1" applyFill="1" applyBorder="1" applyAlignment="1">
      <alignment horizontal="center" vertical="center" wrapText="1"/>
    </xf>
    <xf numFmtId="43" fontId="51" fillId="6" borderId="7" xfId="42" applyNumberFormat="1" applyFont="1" applyFill="1" applyBorder="1" applyAlignment="1">
      <alignment vertical="center" wrapText="1"/>
    </xf>
    <xf numFmtId="0" fontId="8" fillId="0" borderId="7" xfId="42" applyFont="1" applyFill="1" applyBorder="1" applyAlignment="1"/>
    <xf numFmtId="43" fontId="8" fillId="0" borderId="7" xfId="42" applyNumberFormat="1" applyFont="1" applyFill="1" applyBorder="1" applyAlignment="1"/>
    <xf numFmtId="0" fontId="51" fillId="0" borderId="7" xfId="42" applyFont="1" applyFill="1" applyBorder="1" applyAlignment="1">
      <alignment horizontal="center" vertical="center" wrapText="1"/>
    </xf>
    <xf numFmtId="43" fontId="51" fillId="0" borderId="7" xfId="42" applyNumberFormat="1" applyFont="1" applyFill="1" applyBorder="1" applyAlignment="1">
      <alignment horizontal="center" vertical="center" wrapText="1"/>
    </xf>
    <xf numFmtId="0" fontId="9" fillId="0" borderId="7" xfId="42" applyFont="1" applyFill="1" applyBorder="1" applyAlignment="1">
      <alignment horizontal="center" vertical="center" wrapText="1"/>
    </xf>
    <xf numFmtId="10" fontId="51" fillId="0" borderId="2" xfId="42" applyNumberFormat="1" applyFont="1" applyFill="1" applyBorder="1" applyAlignment="1">
      <alignment horizontal="right" vertical="center" wrapText="1"/>
    </xf>
    <xf numFmtId="10" fontId="51" fillId="0" borderId="4" xfId="42" applyNumberFormat="1" applyFont="1" applyFill="1" applyBorder="1" applyAlignment="1">
      <alignment horizontal="right" vertical="center" wrapText="1"/>
    </xf>
    <xf numFmtId="0" fontId="48" fillId="0" borderId="0" xfId="61" applyProtection="1">
      <protection locked="0"/>
    </xf>
    <xf numFmtId="0" fontId="5" fillId="5" borderId="0" xfId="61" applyFont="1" applyFill="1" applyAlignment="1" applyProtection="1">
      <alignment horizontal="center"/>
      <protection locked="0"/>
    </xf>
    <xf numFmtId="0" fontId="6" fillId="0" borderId="0" xfId="61" applyFont="1" applyAlignment="1" applyProtection="1">
      <alignment horizontal="left"/>
      <protection locked="0"/>
    </xf>
    <xf numFmtId="187" fontId="6" fillId="0" borderId="0" xfId="61" applyNumberFormat="1" applyFont="1" applyAlignment="1" applyProtection="1">
      <alignment horizontal="center" vertical="center"/>
      <protection locked="0"/>
    </xf>
    <xf numFmtId="0" fontId="43" fillId="0" borderId="0" xfId="61" applyFont="1" applyAlignment="1" applyProtection="1">
      <alignment horizontal="center"/>
      <protection locked="0"/>
    </xf>
    <xf numFmtId="0" fontId="6" fillId="0" borderId="0" xfId="61" applyFont="1" applyAlignment="1" applyProtection="1">
      <alignment horizontal="center"/>
      <protection locked="0"/>
    </xf>
    <xf numFmtId="0" fontId="6" fillId="0" borderId="0" xfId="61" applyFont="1" applyAlignment="1" applyProtection="1">
      <alignment horizontal="right" vertical="center"/>
      <protection locked="0"/>
    </xf>
    <xf numFmtId="0" fontId="7" fillId="6" borderId="7" xfId="61" applyFont="1" applyFill="1" applyBorder="1" applyAlignment="1" applyProtection="1">
      <alignment horizontal="center" vertical="center"/>
    </xf>
    <xf numFmtId="0" fontId="7" fillId="6" borderId="2" xfId="61" applyFont="1" applyFill="1" applyBorder="1" applyAlignment="1" applyProtection="1">
      <alignment horizontal="center" vertical="center"/>
      <protection locked="0"/>
    </xf>
    <xf numFmtId="0" fontId="7" fillId="6" borderId="7" xfId="61" applyFont="1" applyFill="1" applyBorder="1" applyAlignment="1" applyProtection="1">
      <alignment horizontal="center" vertical="center"/>
      <protection locked="0"/>
    </xf>
    <xf numFmtId="0" fontId="7" fillId="6" borderId="1" xfId="61" applyFont="1" applyFill="1" applyBorder="1" applyAlignment="1" applyProtection="1">
      <alignment horizontal="center" vertical="center"/>
      <protection locked="0"/>
    </xf>
    <xf numFmtId="0" fontId="8" fillId="6" borderId="7" xfId="61" applyFont="1" applyFill="1" applyBorder="1" applyAlignment="1" applyProtection="1">
      <alignment vertical="center"/>
    </xf>
    <xf numFmtId="10" fontId="8" fillId="7" borderId="2" xfId="61" applyNumberFormat="1" applyFont="1" applyFill="1" applyBorder="1" applyAlignment="1" applyProtection="1">
      <alignment horizontal="center" vertical="center"/>
      <protection locked="0"/>
    </xf>
    <xf numFmtId="10" fontId="8" fillId="7" borderId="7" xfId="61" applyNumberFormat="1" applyFont="1" applyFill="1" applyBorder="1" applyAlignment="1" applyProtection="1">
      <alignment horizontal="center" vertical="center"/>
      <protection locked="0"/>
    </xf>
    <xf numFmtId="0" fontId="53" fillId="0" borderId="0" xfId="66" applyFont="1" applyAlignment="1">
      <alignment horizontal="left"/>
    </xf>
    <xf numFmtId="0" fontId="54" fillId="0" borderId="0" xfId="66" applyFont="1"/>
    <xf numFmtId="0" fontId="52" fillId="0" borderId="0" xfId="66" applyFont="1"/>
    <xf numFmtId="0" fontId="48" fillId="0" borderId="0" xfId="66" applyAlignment="1">
      <alignment vertical="center"/>
    </xf>
    <xf numFmtId="0" fontId="8" fillId="0" borderId="0" xfId="66" applyFont="1"/>
    <xf numFmtId="0" fontId="49" fillId="5" borderId="0" xfId="66" applyFont="1" applyFill="1" applyBorder="1" applyAlignment="1">
      <alignment horizontal="center" vertical="center"/>
    </xf>
    <xf numFmtId="0" fontId="6" fillId="0" borderId="0" xfId="66" applyFont="1" applyBorder="1" applyAlignment="1">
      <alignment horizontal="left"/>
    </xf>
    <xf numFmtId="0" fontId="6" fillId="0" borderId="0" xfId="66" applyFont="1" applyBorder="1" applyAlignment="1">
      <alignment horizontal="center" vertical="center"/>
    </xf>
    <xf numFmtId="0" fontId="6" fillId="0" borderId="0" xfId="66" applyFont="1" applyBorder="1" applyAlignment="1">
      <alignment horizontal="right" vertical="center"/>
    </xf>
    <xf numFmtId="0" fontId="6" fillId="0" borderId="0" xfId="66" applyFont="1" applyAlignment="1">
      <alignment horizontal="left"/>
    </xf>
    <xf numFmtId="0" fontId="50" fillId="6" borderId="7" xfId="66" applyFont="1" applyFill="1" applyBorder="1" applyAlignment="1">
      <alignment horizontal="center" vertical="center" wrapText="1"/>
    </xf>
    <xf numFmtId="0" fontId="23" fillId="0" borderId="0" xfId="66" applyFont="1"/>
    <xf numFmtId="0" fontId="50" fillId="6" borderId="7" xfId="66" applyFont="1" applyFill="1" applyBorder="1" applyAlignment="1">
      <alignment horizontal="left" vertical="center" wrapText="1"/>
    </xf>
    <xf numFmtId="0" fontId="51" fillId="6" borderId="7" xfId="66" applyFont="1" applyFill="1" applyBorder="1" applyAlignment="1">
      <alignment vertical="center" wrapText="1"/>
    </xf>
    <xf numFmtId="0" fontId="25" fillId="0" borderId="0" xfId="66" applyFont="1"/>
    <xf numFmtId="43" fontId="51" fillId="7" borderId="7" xfId="44" applyNumberFormat="1" applyFont="1" applyFill="1" applyBorder="1" applyAlignment="1">
      <alignment horizontal="left" vertical="center" wrapText="1"/>
    </xf>
    <xf numFmtId="0" fontId="51" fillId="7" borderId="7" xfId="66" applyFont="1" applyFill="1" applyBorder="1" applyAlignment="1">
      <alignment vertical="center" wrapText="1"/>
    </xf>
    <xf numFmtId="43" fontId="51" fillId="0" borderId="7" xfId="44" applyNumberFormat="1" applyFont="1" applyFill="1" applyBorder="1" applyAlignment="1">
      <alignment horizontal="center" vertical="center" wrapText="1"/>
    </xf>
    <xf numFmtId="0" fontId="50" fillId="6" borderId="7" xfId="66" applyFont="1" applyFill="1" applyBorder="1" applyAlignment="1">
      <alignment vertical="center" wrapText="1"/>
    </xf>
    <xf numFmtId="43" fontId="51" fillId="7" borderId="1" xfId="44" applyNumberFormat="1" applyFont="1" applyFill="1" applyBorder="1" applyAlignment="1">
      <alignment horizontal="left" vertical="center" wrapText="1"/>
    </xf>
    <xf numFmtId="0" fontId="7" fillId="7" borderId="7" xfId="66" applyFont="1" applyFill="1" applyBorder="1" applyAlignment="1">
      <alignment vertical="center"/>
    </xf>
    <xf numFmtId="43" fontId="50" fillId="7" borderId="4" xfId="44" applyNumberFormat="1" applyFont="1" applyFill="1" applyBorder="1" applyAlignment="1">
      <alignment horizontal="center" vertical="center" wrapText="1"/>
    </xf>
    <xf numFmtId="0" fontId="8" fillId="0" borderId="0" xfId="66" applyFont="1" applyAlignment="1">
      <alignment vertical="center"/>
    </xf>
    <xf numFmtId="0" fontId="47" fillId="0" borderId="0" xfId="44" applyFont="1" applyFill="1" applyAlignment="1"/>
    <xf numFmtId="0" fontId="6" fillId="0" borderId="0" xfId="44" applyFont="1" applyFill="1" applyAlignment="1"/>
    <xf numFmtId="0" fontId="7" fillId="0" borderId="0" xfId="44" applyFont="1" applyFill="1" applyAlignment="1">
      <alignment horizontal="center"/>
    </xf>
    <xf numFmtId="0" fontId="8" fillId="0" borderId="0" xfId="44" applyFont="1" applyFill="1" applyAlignment="1"/>
    <xf numFmtId="187" fontId="6" fillId="0" borderId="0" xfId="44" applyNumberFormat="1" applyFont="1" applyFill="1" applyAlignment="1">
      <alignment horizontal="center"/>
    </xf>
    <xf numFmtId="0" fontId="6" fillId="0" borderId="0" xfId="44" applyFont="1" applyFill="1" applyAlignment="1">
      <alignment horizontal="right"/>
    </xf>
    <xf numFmtId="0" fontId="50" fillId="7" borderId="7" xfId="44" applyFont="1" applyFill="1" applyBorder="1" applyAlignment="1">
      <alignment vertical="center" wrapText="1"/>
    </xf>
    <xf numFmtId="0" fontId="51" fillId="0" borderId="7" xfId="44" applyFont="1" applyFill="1" applyBorder="1" applyAlignment="1">
      <alignment vertical="center" wrapText="1"/>
    </xf>
    <xf numFmtId="0" fontId="51" fillId="0" borderId="7" xfId="44" applyFont="1" applyFill="1" applyBorder="1" applyAlignment="1">
      <alignment horizontal="center" vertical="center" wrapText="1"/>
    </xf>
    <xf numFmtId="0" fontId="25" fillId="0" borderId="0" xfId="44" applyFont="1" applyFill="1" applyAlignment="1">
      <alignment vertical="center"/>
    </xf>
    <xf numFmtId="0" fontId="6" fillId="0" borderId="0" xfId="42" applyFont="1"/>
    <xf numFmtId="0" fontId="7" fillId="0" borderId="0" xfId="42" applyFont="1"/>
    <xf numFmtId="0" fontId="8" fillId="0" borderId="0" xfId="42" applyFont="1"/>
    <xf numFmtId="0" fontId="49" fillId="5" borderId="0" xfId="42" applyFont="1" applyFill="1" applyAlignment="1">
      <alignment horizontal="center"/>
    </xf>
    <xf numFmtId="0" fontId="6" fillId="0" borderId="0" xfId="42" applyFont="1" applyAlignment="1">
      <alignment horizontal="center"/>
    </xf>
    <xf numFmtId="0" fontId="6" fillId="0" borderId="0" xfId="42" applyFont="1" applyAlignment="1">
      <alignment horizontal="right"/>
    </xf>
    <xf numFmtId="0" fontId="51" fillId="0" borderId="7" xfId="42" applyFont="1" applyBorder="1" applyAlignment="1">
      <alignment vertical="center" wrapText="1"/>
    </xf>
    <xf numFmtId="0" fontId="8" fillId="0" borderId="7" xfId="42" applyFont="1" applyBorder="1" applyAlignment="1">
      <alignment vertical="center"/>
    </xf>
    <xf numFmtId="43" fontId="51" fillId="0" borderId="7" xfId="42" applyNumberFormat="1" applyFont="1" applyBorder="1" applyAlignment="1">
      <alignment horizontal="center" vertical="center" wrapText="1"/>
    </xf>
    <xf numFmtId="43" fontId="8" fillId="0" borderId="7" xfId="42" applyNumberFormat="1" applyFont="1" applyBorder="1" applyAlignment="1">
      <alignment vertical="center"/>
    </xf>
    <xf numFmtId="0" fontId="8" fillId="0" borderId="7" xfId="42" applyFont="1" applyBorder="1"/>
    <xf numFmtId="43" fontId="8" fillId="0" borderId="7" xfId="42" applyNumberFormat="1" applyFont="1" applyBorder="1"/>
    <xf numFmtId="0" fontId="51" fillId="0" borderId="7" xfId="42" applyFont="1" applyBorder="1" applyAlignment="1">
      <alignment horizontal="center" vertical="center" wrapText="1"/>
    </xf>
    <xf numFmtId="0" fontId="8" fillId="0" borderId="0" xfId="51" applyFont="1" applyProtection="1"/>
    <xf numFmtId="0" fontId="5" fillId="5" borderId="0" xfId="51" applyFont="1" applyFill="1" applyAlignment="1" applyProtection="1">
      <alignment horizontal="center" vertical="center"/>
    </xf>
    <xf numFmtId="0" fontId="6" fillId="0" borderId="0" xfId="51" applyFont="1" applyProtection="1"/>
    <xf numFmtId="0" fontId="6" fillId="0" borderId="0" xfId="51" applyFont="1" applyAlignment="1" applyProtection="1">
      <alignment horizontal="center" vertical="center"/>
    </xf>
    <xf numFmtId="0" fontId="7" fillId="6" borderId="7" xfId="51" applyFont="1" applyFill="1" applyBorder="1" applyAlignment="1" applyProtection="1">
      <alignment horizontal="center" vertical="center"/>
    </xf>
    <xf numFmtId="0" fontId="7" fillId="6" borderId="1" xfId="51" applyFont="1" applyFill="1" applyBorder="1" applyAlignment="1" applyProtection="1">
      <alignment horizontal="center" vertical="center"/>
    </xf>
    <xf numFmtId="0" fontId="6" fillId="0" borderId="0" xfId="51" applyFont="1" applyAlignment="1" applyProtection="1">
      <alignment vertical="center" wrapText="1"/>
    </xf>
    <xf numFmtId="0" fontId="8" fillId="6" borderId="7" xfId="51" applyFont="1" applyFill="1" applyBorder="1" applyAlignment="1" applyProtection="1">
      <alignment vertical="center"/>
    </xf>
    <xf numFmtId="0" fontId="8" fillId="6" borderId="7" xfId="51" applyFont="1" applyFill="1" applyBorder="1" applyAlignment="1" applyProtection="1">
      <alignment horizontal="center" vertical="center"/>
    </xf>
    <xf numFmtId="0" fontId="8" fillId="7" borderId="2" xfId="51" applyNumberFormat="1" applyFont="1" applyFill="1" applyBorder="1" applyAlignment="1" applyProtection="1">
      <alignment horizontal="center" vertical="center"/>
      <protection locked="0"/>
    </xf>
    <xf numFmtId="0" fontId="6" fillId="0" borderId="7" xfId="51" applyFont="1" applyBorder="1" applyAlignment="1" applyProtection="1">
      <alignment vertical="center" wrapText="1"/>
    </xf>
    <xf numFmtId="0" fontId="8" fillId="7" borderId="2" xfId="51" applyFont="1" applyFill="1" applyBorder="1" applyAlignment="1" applyProtection="1">
      <alignment horizontal="center" vertical="center"/>
      <protection locked="0"/>
    </xf>
    <xf numFmtId="0" fontId="8" fillId="6" borderId="7" xfId="51" applyFont="1" applyFill="1" applyBorder="1" applyAlignment="1" applyProtection="1">
      <alignment horizontal="center" vertical="center" wrapText="1"/>
    </xf>
    <xf numFmtId="0" fontId="8" fillId="0" borderId="2" xfId="51" applyFont="1" applyFill="1" applyBorder="1" applyAlignment="1" applyProtection="1">
      <alignment horizontal="center" vertical="center"/>
      <protection locked="0"/>
    </xf>
    <xf numFmtId="0" fontId="8" fillId="6" borderId="2" xfId="51" applyFont="1" applyFill="1" applyBorder="1" applyAlignment="1" applyProtection="1">
      <alignment horizontal="center" vertical="center"/>
    </xf>
    <xf numFmtId="0" fontId="8" fillId="6" borderId="3" xfId="51" applyFont="1" applyFill="1" applyBorder="1" applyAlignment="1" applyProtection="1">
      <alignment horizontal="center" vertical="center"/>
    </xf>
    <xf numFmtId="0" fontId="8" fillId="6" borderId="4" xfId="51" applyFont="1" applyFill="1" applyBorder="1" applyAlignment="1" applyProtection="1">
      <alignment horizontal="center" vertical="center"/>
    </xf>
    <xf numFmtId="0" fontId="6" fillId="7" borderId="2" xfId="51" applyFont="1" applyFill="1" applyBorder="1" applyAlignment="1" applyProtection="1">
      <alignment horizontal="center" vertical="center"/>
      <protection locked="0"/>
    </xf>
    <xf numFmtId="0" fontId="55" fillId="0" borderId="0" xfId="72" applyFont="1"/>
    <xf numFmtId="0" fontId="55" fillId="0" borderId="0" xfId="72" applyFont="1" applyAlignment="1">
      <alignment horizontal="center"/>
    </xf>
    <xf numFmtId="0" fontId="5" fillId="5" borderId="0" xfId="72" applyFont="1" applyFill="1" applyAlignment="1">
      <alignment horizontal="center"/>
    </xf>
    <xf numFmtId="0" fontId="56" fillId="0" borderId="0" xfId="72" applyFont="1"/>
    <xf numFmtId="0" fontId="56" fillId="0" borderId="0" xfId="72" applyFont="1" applyAlignment="1">
      <alignment horizontal="center"/>
    </xf>
    <xf numFmtId="0" fontId="56" fillId="0" borderId="0" xfId="72" applyFont="1" applyAlignment="1">
      <alignment horizontal="right"/>
    </xf>
    <xf numFmtId="0" fontId="57" fillId="6" borderId="7" xfId="72" applyFont="1" applyFill="1" applyBorder="1" applyAlignment="1">
      <alignment horizontal="center"/>
    </xf>
    <xf numFmtId="0" fontId="57" fillId="6" borderId="7" xfId="72" applyFont="1" applyFill="1" applyBorder="1" applyAlignment="1" applyProtection="1">
      <alignment horizontal="center"/>
    </xf>
    <xf numFmtId="178" fontId="55" fillId="0" borderId="7" xfId="72" applyNumberFormat="1" applyFont="1" applyFill="1" applyBorder="1" applyAlignment="1" applyProtection="1">
      <alignment horizontal="right"/>
    </xf>
    <xf numFmtId="178" fontId="55" fillId="0" borderId="7" xfId="72" applyNumberFormat="1" applyFont="1" applyFill="1" applyBorder="1" applyAlignment="1" applyProtection="1">
      <alignment horizontal="right"/>
      <protection locked="0"/>
    </xf>
    <xf numFmtId="10" fontId="55" fillId="7" borderId="7" xfId="72" applyNumberFormat="1" applyFont="1" applyFill="1" applyBorder="1" applyAlignment="1">
      <alignment horizontal="center"/>
    </xf>
    <xf numFmtId="178" fontId="55" fillId="7" borderId="7" xfId="72" applyNumberFormat="1" applyFont="1" applyFill="1" applyBorder="1" applyAlignment="1">
      <alignment horizontal="right"/>
    </xf>
    <xf numFmtId="0" fontId="55" fillId="0" borderId="0" xfId="72" applyFont="1" applyBorder="1"/>
    <xf numFmtId="0" fontId="55" fillId="0" borderId="0" xfId="72" applyFont="1" applyBorder="1" applyAlignment="1">
      <alignment horizontal="center"/>
    </xf>
    <xf numFmtId="0" fontId="57" fillId="0" borderId="0" xfId="72" applyFont="1" applyBorder="1"/>
    <xf numFmtId="0" fontId="55" fillId="0" borderId="0" xfId="72" applyFont="1" applyBorder="1" applyAlignment="1">
      <alignment horizontal="right"/>
    </xf>
    <xf numFmtId="10" fontId="55" fillId="0" borderId="0" xfId="72" applyNumberFormat="1" applyFont="1" applyBorder="1"/>
    <xf numFmtId="0" fontId="57" fillId="0" borderId="0" xfId="72" applyFont="1" applyBorder="1" applyAlignment="1">
      <alignment horizontal="center"/>
    </xf>
    <xf numFmtId="0" fontId="1" fillId="0" borderId="0" xfId="72" applyFont="1" applyAlignment="1">
      <alignment horizontal="center"/>
    </xf>
    <xf numFmtId="0" fontId="55" fillId="6" borderId="7" xfId="72" applyFont="1" applyFill="1" applyBorder="1" applyAlignment="1">
      <alignment horizontal="center"/>
    </xf>
    <xf numFmtId="0" fontId="55" fillId="6" borderId="7" xfId="72" applyFont="1" applyFill="1" applyBorder="1" applyAlignment="1" applyProtection="1">
      <alignment horizontal="center"/>
    </xf>
    <xf numFmtId="43" fontId="55" fillId="7" borderId="7" xfId="72" applyNumberFormat="1" applyFont="1" applyFill="1" applyBorder="1" applyAlignment="1" applyProtection="1">
      <alignment horizontal="right"/>
      <protection locked="0"/>
    </xf>
    <xf numFmtId="43" fontId="55" fillId="7" borderId="7" xfId="72" applyNumberFormat="1" applyFont="1" applyFill="1" applyBorder="1" applyAlignment="1" applyProtection="1">
      <alignment horizontal="right"/>
    </xf>
    <xf numFmtId="176" fontId="55" fillId="7" borderId="7" xfId="72" applyNumberFormat="1" applyFont="1" applyFill="1" applyBorder="1" applyAlignment="1" applyProtection="1">
      <alignment horizontal="center"/>
    </xf>
    <xf numFmtId="10" fontId="55" fillId="7" borderId="7" xfId="72" applyNumberFormat="1" applyFont="1" applyFill="1" applyBorder="1" applyAlignment="1" applyProtection="1">
      <alignment horizontal="center"/>
    </xf>
    <xf numFmtId="10" fontId="55" fillId="7" borderId="7" xfId="72" applyNumberFormat="1" applyFont="1" applyFill="1" applyBorder="1" applyAlignment="1" applyProtection="1">
      <alignment horizontal="right"/>
    </xf>
    <xf numFmtId="0" fontId="57" fillId="0" borderId="0" xfId="72" applyFont="1"/>
    <xf numFmtId="0" fontId="58" fillId="0" borderId="0" xfId="0" applyFont="1">
      <alignment vertical="center"/>
    </xf>
    <xf numFmtId="0" fontId="55" fillId="0" borderId="0" xfId="65" applyFont="1"/>
    <xf numFmtId="0" fontId="5" fillId="5" borderId="0" xfId="65" applyFont="1" applyFill="1" applyAlignment="1">
      <alignment horizontal="center"/>
    </xf>
    <xf numFmtId="0" fontId="6" fillId="0" borderId="0" xfId="65" applyFont="1"/>
    <xf numFmtId="0" fontId="6" fillId="0" borderId="0" xfId="65" applyFont="1" applyAlignment="1">
      <alignment horizontal="center" vertical="center"/>
    </xf>
    <xf numFmtId="0" fontId="55" fillId="0" borderId="0" xfId="65" applyFont="1" applyAlignment="1">
      <alignment horizontal="center" vertical="center"/>
    </xf>
    <xf numFmtId="0" fontId="55" fillId="0" borderId="0" xfId="65" applyFont="1" applyAlignment="1">
      <alignment vertical="center"/>
    </xf>
    <xf numFmtId="0" fontId="55" fillId="0" borderId="14" xfId="65" applyFont="1" applyBorder="1" applyAlignment="1">
      <alignment horizontal="center" vertical="center"/>
    </xf>
    <xf numFmtId="0" fontId="55" fillId="0" borderId="9" xfId="65" applyFont="1" applyBorder="1" applyAlignment="1">
      <alignment horizontal="center" vertical="center"/>
    </xf>
    <xf numFmtId="0" fontId="55" fillId="6" borderId="9" xfId="65" applyFont="1" applyFill="1" applyBorder="1" applyAlignment="1">
      <alignment horizontal="center" vertical="center"/>
    </xf>
    <xf numFmtId="0" fontId="55" fillId="6" borderId="15" xfId="65" applyFont="1" applyFill="1" applyBorder="1" applyAlignment="1">
      <alignment horizontal="center" vertical="center"/>
    </xf>
    <xf numFmtId="10" fontId="55" fillId="7" borderId="25" xfId="65" applyNumberFormat="1" applyFont="1" applyFill="1" applyBorder="1" applyAlignment="1">
      <alignment horizontal="center" vertical="center"/>
    </xf>
    <xf numFmtId="10" fontId="55" fillId="7" borderId="14" xfId="65" applyNumberFormat="1" applyFont="1" applyFill="1" applyBorder="1" applyAlignment="1">
      <alignment horizontal="center" vertical="center"/>
    </xf>
    <xf numFmtId="0" fontId="55" fillId="0" borderId="4" xfId="65" applyFont="1" applyBorder="1" applyAlignment="1">
      <alignment horizontal="center" vertical="center"/>
    </xf>
    <xf numFmtId="0" fontId="55" fillId="0" borderId="25" xfId="65" applyFont="1" applyBorder="1" applyAlignment="1">
      <alignment horizontal="center" vertical="center"/>
    </xf>
    <xf numFmtId="0" fontId="55" fillId="0" borderId="2" xfId="65" applyFont="1" applyBorder="1" applyAlignment="1">
      <alignment horizontal="center" vertical="center"/>
    </xf>
    <xf numFmtId="0" fontId="55" fillId="6" borderId="24" xfId="65" applyFont="1" applyFill="1" applyBorder="1" applyAlignment="1">
      <alignment horizontal="center" vertical="center"/>
    </xf>
    <xf numFmtId="10" fontId="55" fillId="7" borderId="10" xfId="65" applyNumberFormat="1" applyFont="1" applyFill="1" applyBorder="1" applyAlignment="1">
      <alignment horizontal="center" vertical="center"/>
    </xf>
    <xf numFmtId="0" fontId="55" fillId="0" borderId="15" xfId="65" applyFont="1" applyBorder="1" applyAlignment="1">
      <alignment horizontal="center" vertical="center"/>
    </xf>
    <xf numFmtId="0" fontId="55" fillId="0" borderId="8" xfId="65" applyFont="1" applyBorder="1" applyAlignment="1">
      <alignment horizontal="center" vertical="center"/>
    </xf>
    <xf numFmtId="0" fontId="55" fillId="0" borderId="0" xfId="65" applyFont="1" applyBorder="1" applyAlignment="1">
      <alignment horizontal="center" vertical="center"/>
    </xf>
    <xf numFmtId="0" fontId="55" fillId="0" borderId="24" xfId="65" applyFont="1" applyBorder="1" applyAlignment="1">
      <alignment horizontal="center" vertical="center"/>
    </xf>
    <xf numFmtId="0" fontId="8" fillId="6" borderId="9" xfId="65" applyFont="1" applyFill="1" applyBorder="1" applyAlignment="1">
      <alignment horizontal="center" vertical="center"/>
    </xf>
    <xf numFmtId="0" fontId="8" fillId="6" borderId="24" xfId="65" applyFont="1" applyFill="1" applyBorder="1" applyAlignment="1">
      <alignment horizontal="center" vertical="center"/>
    </xf>
    <xf numFmtId="0" fontId="8" fillId="6" borderId="25" xfId="65" applyFont="1" applyFill="1" applyBorder="1" applyAlignment="1">
      <alignment horizontal="center" vertical="center"/>
    </xf>
    <xf numFmtId="0" fontId="8" fillId="6" borderId="10" xfId="65" applyFont="1" applyFill="1" applyBorder="1" applyAlignment="1">
      <alignment horizontal="center" vertical="center"/>
    </xf>
    <xf numFmtId="0" fontId="57" fillId="6" borderId="9" xfId="65" applyFont="1" applyFill="1" applyBorder="1" applyAlignment="1">
      <alignment horizontal="center" vertical="center"/>
    </xf>
    <xf numFmtId="0" fontId="57" fillId="6" borderId="15" xfId="65" applyFont="1" applyFill="1" applyBorder="1" applyAlignment="1">
      <alignment horizontal="center" vertical="center"/>
    </xf>
    <xf numFmtId="0" fontId="57" fillId="6" borderId="24" xfId="65" applyFont="1" applyFill="1" applyBorder="1" applyAlignment="1">
      <alignment horizontal="center" vertical="center"/>
    </xf>
    <xf numFmtId="10" fontId="57" fillId="7" borderId="25" xfId="65" applyNumberFormat="1" applyFont="1" applyFill="1" applyBorder="1" applyAlignment="1">
      <alignment horizontal="center" vertical="center"/>
    </xf>
    <xf numFmtId="10" fontId="57" fillId="7" borderId="14" xfId="65" applyNumberFormat="1" applyFont="1" applyFill="1" applyBorder="1" applyAlignment="1">
      <alignment horizontal="center" vertical="center"/>
    </xf>
    <xf numFmtId="10" fontId="57" fillId="7" borderId="10" xfId="65" applyNumberFormat="1" applyFont="1" applyFill="1" applyBorder="1" applyAlignment="1">
      <alignment horizontal="center" vertical="center"/>
    </xf>
    <xf numFmtId="0" fontId="55" fillId="0" borderId="10" xfId="65" applyFont="1" applyBorder="1" applyAlignment="1">
      <alignment horizontal="center" vertical="center"/>
    </xf>
    <xf numFmtId="178" fontId="55" fillId="7" borderId="25" xfId="65" applyNumberFormat="1" applyFont="1" applyFill="1" applyBorder="1" applyAlignment="1">
      <alignment horizontal="center" vertical="center"/>
    </xf>
    <xf numFmtId="178" fontId="55" fillId="7" borderId="14" xfId="65" applyNumberFormat="1" applyFont="1" applyFill="1" applyBorder="1" applyAlignment="1">
      <alignment horizontal="center" vertical="center"/>
    </xf>
    <xf numFmtId="178" fontId="55" fillId="7" borderId="10" xfId="65" applyNumberFormat="1" applyFont="1" applyFill="1" applyBorder="1" applyAlignment="1">
      <alignment horizontal="center" vertical="center"/>
    </xf>
    <xf numFmtId="0" fontId="55" fillId="6" borderId="1" xfId="65" applyFont="1" applyFill="1" applyBorder="1" applyAlignment="1">
      <alignment horizontal="center" vertical="center"/>
    </xf>
    <xf numFmtId="0" fontId="55" fillId="6" borderId="6" xfId="65" applyFont="1" applyFill="1" applyBorder="1" applyAlignment="1">
      <alignment horizontal="center" vertical="center"/>
    </xf>
    <xf numFmtId="43" fontId="55" fillId="7" borderId="25" xfId="65" applyNumberFormat="1" applyFont="1" applyFill="1" applyBorder="1" applyAlignment="1">
      <alignment horizontal="center" vertical="center"/>
    </xf>
    <xf numFmtId="0" fontId="55" fillId="7" borderId="14" xfId="65" applyFont="1" applyFill="1" applyBorder="1" applyAlignment="1">
      <alignment horizontal="center" vertical="center"/>
    </xf>
    <xf numFmtId="0" fontId="55" fillId="7" borderId="10" xfId="65" applyFont="1" applyFill="1" applyBorder="1" applyAlignment="1">
      <alignment horizontal="center" vertical="center"/>
    </xf>
    <xf numFmtId="0" fontId="55" fillId="6" borderId="25" xfId="65" applyFont="1" applyFill="1" applyBorder="1" applyAlignment="1">
      <alignment horizontal="center" vertical="center"/>
    </xf>
    <xf numFmtId="0" fontId="55" fillId="6" borderId="14" xfId="65" applyFont="1" applyFill="1" applyBorder="1" applyAlignment="1">
      <alignment horizontal="center" vertical="center"/>
    </xf>
    <xf numFmtId="0" fontId="55" fillId="6" borderId="10" xfId="65" applyFont="1" applyFill="1" applyBorder="1" applyAlignment="1">
      <alignment horizontal="center" vertical="center"/>
    </xf>
    <xf numFmtId="0" fontId="6" fillId="0" borderId="0" xfId="43" applyFont="1" applyFill="1" applyAlignment="1" applyProtection="1">
      <protection locked="0"/>
    </xf>
    <xf numFmtId="0" fontId="8" fillId="0" borderId="0" xfId="43" applyFont="1" applyFill="1" applyAlignment="1" applyProtection="1">
      <alignment horizontal="center"/>
      <protection locked="0"/>
    </xf>
    <xf numFmtId="0" fontId="8" fillId="0" borderId="0" xfId="43" applyFont="1" applyFill="1" applyAlignment="1" applyProtection="1">
      <protection locked="0"/>
    </xf>
    <xf numFmtId="0" fontId="5" fillId="0" borderId="0" xfId="43" applyFont="1" applyFill="1" applyAlignment="1" applyProtection="1">
      <alignment horizontal="center"/>
      <protection locked="0"/>
    </xf>
    <xf numFmtId="0" fontId="6" fillId="0" borderId="0" xfId="43" applyFont="1" applyFill="1" applyAlignment="1" applyProtection="1"/>
    <xf numFmtId="0" fontId="8" fillId="0" borderId="14" xfId="43" applyFont="1" applyFill="1" applyBorder="1" applyAlignment="1" applyProtection="1">
      <protection locked="0"/>
    </xf>
    <xf numFmtId="0" fontId="8" fillId="0" borderId="2" xfId="43" applyFont="1" applyFill="1" applyBorder="1" applyAlignment="1" applyProtection="1">
      <protection locked="0"/>
    </xf>
    <xf numFmtId="0" fontId="8" fillId="6" borderId="9" xfId="43" applyFont="1" applyFill="1" applyBorder="1" applyAlignment="1" applyProtection="1">
      <alignment horizontal="center"/>
      <protection locked="0"/>
    </xf>
    <xf numFmtId="0" fontId="8" fillId="6" borderId="24" xfId="43" applyFont="1" applyFill="1" applyBorder="1" applyAlignment="1" applyProtection="1">
      <alignment horizontal="center"/>
      <protection locked="0"/>
    </xf>
    <xf numFmtId="10" fontId="8" fillId="7" borderId="25" xfId="43" applyNumberFormat="1" applyFont="1" applyFill="1" applyBorder="1" applyAlignment="1" applyProtection="1">
      <alignment horizontal="center"/>
    </xf>
    <xf numFmtId="10" fontId="8" fillId="7" borderId="10" xfId="43" applyNumberFormat="1" applyFont="1" applyFill="1" applyBorder="1" applyAlignment="1" applyProtection="1">
      <alignment horizontal="center"/>
    </xf>
    <xf numFmtId="0" fontId="8" fillId="0" borderId="10" xfId="43" applyFont="1" applyFill="1" applyBorder="1" applyAlignment="1" applyProtection="1">
      <protection locked="0"/>
    </xf>
    <xf numFmtId="0" fontId="8" fillId="0" borderId="4" xfId="43" applyFont="1" applyFill="1" applyBorder="1" applyAlignment="1" applyProtection="1">
      <protection locked="0"/>
    </xf>
    <xf numFmtId="0" fontId="8" fillId="0" borderId="9" xfId="43" applyFont="1" applyFill="1" applyBorder="1" applyAlignment="1" applyProtection="1">
      <protection locked="0"/>
    </xf>
    <xf numFmtId="0" fontId="8" fillId="0" borderId="15" xfId="43" applyFont="1" applyFill="1" applyBorder="1" applyAlignment="1" applyProtection="1">
      <protection locked="0"/>
    </xf>
    <xf numFmtId="0" fontId="8" fillId="0" borderId="24" xfId="43" applyFont="1" applyFill="1" applyBorder="1" applyAlignment="1" applyProtection="1">
      <protection locked="0"/>
    </xf>
    <xf numFmtId="43" fontId="8" fillId="7" borderId="25" xfId="43" applyNumberFormat="1" applyFont="1" applyFill="1" applyBorder="1" applyAlignment="1" applyProtection="1">
      <alignment horizontal="center"/>
    </xf>
    <xf numFmtId="0" fontId="8" fillId="0" borderId="26" xfId="43" applyFont="1" applyFill="1" applyBorder="1" applyAlignment="1" applyProtection="1">
      <protection locked="0"/>
    </xf>
    <xf numFmtId="0" fontId="8" fillId="6" borderId="0" xfId="43" applyFont="1" applyFill="1" applyBorder="1" applyAlignment="1" applyProtection="1">
      <alignment horizontal="center" wrapText="1"/>
      <protection locked="0"/>
    </xf>
    <xf numFmtId="0" fontId="8" fillId="0" borderId="25" xfId="43" applyFont="1" applyFill="1" applyBorder="1" applyAlignment="1" applyProtection="1">
      <protection locked="0"/>
    </xf>
    <xf numFmtId="0" fontId="12" fillId="0" borderId="0" xfId="0" applyFont="1" applyFill="1" applyAlignment="1" applyProtection="1">
      <alignment wrapText="1"/>
      <protection locked="0"/>
    </xf>
    <xf numFmtId="0" fontId="8" fillId="0" borderId="26" xfId="43" applyFont="1" applyFill="1" applyBorder="1" applyAlignment="1" applyProtection="1">
      <alignment horizontal="center"/>
      <protection locked="0"/>
    </xf>
    <xf numFmtId="31" fontId="6" fillId="0" borderId="0" xfId="43" applyNumberFormat="1" applyFont="1" applyFill="1" applyAlignment="1" applyProtection="1">
      <alignment horizontal="center"/>
    </xf>
    <xf numFmtId="0" fontId="7" fillId="6" borderId="9" xfId="43" applyFont="1" applyFill="1" applyBorder="1" applyAlignment="1" applyProtection="1">
      <alignment horizontal="center"/>
      <protection locked="0"/>
    </xf>
    <xf numFmtId="0" fontId="7" fillId="6" borderId="24" xfId="43" applyFont="1" applyFill="1" applyBorder="1" applyAlignment="1" applyProtection="1">
      <alignment horizontal="center"/>
      <protection locked="0"/>
    </xf>
    <xf numFmtId="10" fontId="7" fillId="7" borderId="25" xfId="43" applyNumberFormat="1" applyFont="1" applyFill="1" applyBorder="1" applyAlignment="1" applyProtection="1">
      <alignment horizontal="center"/>
    </xf>
    <xf numFmtId="10" fontId="7" fillId="7" borderId="10" xfId="43" applyNumberFormat="1" applyFont="1" applyFill="1" applyBorder="1" applyAlignment="1" applyProtection="1">
      <alignment horizontal="center"/>
    </xf>
    <xf numFmtId="0" fontId="8" fillId="7" borderId="10" xfId="43" applyFont="1" applyFill="1" applyBorder="1" applyAlignment="1" applyProtection="1">
      <alignment horizontal="center"/>
    </xf>
    <xf numFmtId="187" fontId="6" fillId="0" borderId="0" xfId="43" applyNumberFormat="1" applyFont="1" applyFill="1" applyAlignment="1" applyProtection="1">
      <alignment horizontal="center"/>
      <protection locked="0"/>
    </xf>
    <xf numFmtId="0" fontId="8" fillId="6" borderId="2" xfId="43" applyFont="1" applyFill="1" applyBorder="1" applyAlignment="1" applyProtection="1">
      <alignment horizontal="center"/>
      <protection locked="0"/>
    </xf>
    <xf numFmtId="0" fontId="8" fillId="6" borderId="3" xfId="43" applyFont="1" applyFill="1" applyBorder="1" applyAlignment="1" applyProtection="1">
      <alignment horizontal="center"/>
      <protection locked="0"/>
    </xf>
    <xf numFmtId="0" fontId="8" fillId="6" borderId="4" xfId="43" applyFont="1" applyFill="1" applyBorder="1" applyAlignment="1" applyProtection="1">
      <alignment horizontal="center"/>
      <protection locked="0"/>
    </xf>
    <xf numFmtId="0" fontId="7" fillId="6" borderId="15" xfId="43" applyFont="1" applyFill="1" applyBorder="1" applyAlignment="1" applyProtection="1">
      <alignment horizontal="center"/>
      <protection locked="0"/>
    </xf>
    <xf numFmtId="10" fontId="8" fillId="0" borderId="2" xfId="43" applyNumberFormat="1" applyFont="1" applyFill="1" applyBorder="1" applyAlignment="1" applyProtection="1">
      <alignment horizontal="center"/>
      <protection locked="0"/>
    </xf>
    <xf numFmtId="10" fontId="8" fillId="0" borderId="3" xfId="43" applyNumberFormat="1" applyFont="1" applyFill="1" applyBorder="1" applyAlignment="1" applyProtection="1">
      <alignment horizontal="center"/>
      <protection locked="0"/>
    </xf>
    <xf numFmtId="10" fontId="8" fillId="0" borderId="4" xfId="43" applyNumberFormat="1" applyFont="1" applyFill="1" applyBorder="1" applyAlignment="1" applyProtection="1">
      <alignment horizontal="center"/>
      <protection locked="0"/>
    </xf>
    <xf numFmtId="10" fontId="7" fillId="7" borderId="14" xfId="43" applyNumberFormat="1" applyFont="1" applyFill="1" applyBorder="1" applyAlignment="1" applyProtection="1">
      <alignment horizontal="center"/>
    </xf>
    <xf numFmtId="178" fontId="8" fillId="7" borderId="25" xfId="43" applyNumberFormat="1" applyFont="1" applyFill="1" applyBorder="1" applyAlignment="1" applyProtection="1">
      <alignment horizontal="center"/>
    </xf>
    <xf numFmtId="178" fontId="8" fillId="7" borderId="10" xfId="43" applyNumberFormat="1" applyFont="1" applyFill="1" applyBorder="1" applyAlignment="1" applyProtection="1">
      <alignment horizontal="center"/>
    </xf>
    <xf numFmtId="0" fontId="8" fillId="0" borderId="8" xfId="43" applyFont="1" applyFill="1" applyBorder="1" applyAlignment="1" applyProtection="1">
      <protection locked="0"/>
    </xf>
    <xf numFmtId="0" fontId="8" fillId="0" borderId="8" xfId="43" applyFont="1" applyFill="1" applyBorder="1" applyAlignment="1" applyProtection="1">
      <alignment horizontal="center"/>
      <protection locked="0"/>
    </xf>
    <xf numFmtId="0" fontId="5" fillId="5" borderId="0" xfId="43" applyFont="1" applyFill="1" applyAlignment="1" applyProtection="1">
      <alignment horizontal="center"/>
      <protection locked="0"/>
    </xf>
    <xf numFmtId="0" fontId="8" fillId="6" borderId="7" xfId="43" applyFont="1" applyFill="1" applyBorder="1" applyAlignment="1" applyProtection="1">
      <alignment horizontal="center" wrapText="1"/>
      <protection locked="0"/>
    </xf>
    <xf numFmtId="0" fontId="59" fillId="0" borderId="0" xfId="69" applyFont="1" applyFill="1" applyBorder="1" applyAlignment="1" applyProtection="1">
      <alignment vertical="center"/>
      <protection locked="0"/>
    </xf>
    <xf numFmtId="0" fontId="8" fillId="0" borderId="0" xfId="69" applyFont="1" applyFill="1" applyBorder="1" applyAlignment="1" applyProtection="1">
      <protection locked="0"/>
    </xf>
    <xf numFmtId="0" fontId="12" fillId="0" borderId="0" xfId="69" applyFont="1" applyFill="1" applyBorder="1" applyAlignment="1" applyProtection="1">
      <alignment vertical="center"/>
      <protection locked="0"/>
    </xf>
    <xf numFmtId="0" fontId="5" fillId="5" borderId="0" xfId="69" applyFont="1" applyFill="1" applyBorder="1" applyAlignment="1" applyProtection="1">
      <alignment horizontal="center" vertical="center"/>
      <protection locked="0"/>
    </xf>
    <xf numFmtId="0" fontId="6" fillId="0" borderId="0" xfId="69" applyFont="1" applyFill="1" applyBorder="1" applyAlignment="1" applyProtection="1">
      <alignment horizontal="left"/>
    </xf>
    <xf numFmtId="0" fontId="6" fillId="0" borderId="0" xfId="69" applyFont="1" applyFill="1" applyBorder="1" applyAlignment="1" applyProtection="1">
      <alignment horizontal="center"/>
      <protection locked="0"/>
    </xf>
    <xf numFmtId="31" fontId="6" fillId="0" borderId="0" xfId="69" applyNumberFormat="1" applyFont="1" applyFill="1" applyAlignment="1" applyProtection="1">
      <alignment horizontal="center"/>
    </xf>
    <xf numFmtId="0" fontId="6" fillId="0" borderId="0" xfId="69" applyFont="1" applyFill="1" applyBorder="1" applyAlignment="1" applyProtection="1">
      <alignment horizontal="right"/>
    </xf>
    <xf numFmtId="0" fontId="7" fillId="6" borderId="7" xfId="69" applyFont="1" applyFill="1" applyBorder="1" applyAlignment="1" applyProtection="1">
      <alignment horizontal="center" vertical="center"/>
      <protection locked="0"/>
    </xf>
    <xf numFmtId="0" fontId="8" fillId="6" borderId="7" xfId="69" applyFont="1" applyFill="1" applyBorder="1" applyAlignment="1" applyProtection="1">
      <alignment horizontal="center" vertical="center"/>
      <protection locked="0"/>
    </xf>
    <xf numFmtId="43" fontId="8" fillId="7" borderId="7" xfId="69" applyNumberFormat="1" applyFont="1" applyFill="1" applyBorder="1" applyAlignment="1" applyProtection="1">
      <alignment vertical="center"/>
    </xf>
    <xf numFmtId="10" fontId="8" fillId="7" borderId="7" xfId="69" applyNumberFormat="1" applyFont="1" applyFill="1" applyBorder="1" applyAlignment="1" applyProtection="1">
      <alignment vertical="center"/>
    </xf>
    <xf numFmtId="10" fontId="8" fillId="7" borderId="7" xfId="69" applyNumberFormat="1" applyFont="1" applyFill="1" applyBorder="1" applyAlignment="1" applyProtection="1">
      <alignment horizontal="center" vertical="center"/>
    </xf>
    <xf numFmtId="178" fontId="8" fillId="7" borderId="7" xfId="69" applyNumberFormat="1" applyFont="1" applyFill="1" applyBorder="1" applyAlignment="1" applyProtection="1">
      <alignment horizontal="center" vertical="center"/>
    </xf>
    <xf numFmtId="0" fontId="8" fillId="6" borderId="7" xfId="69" applyFont="1" applyFill="1" applyBorder="1" applyAlignment="1" applyProtection="1">
      <alignment vertical="center"/>
      <protection locked="0"/>
    </xf>
    <xf numFmtId="43" fontId="8" fillId="0" borderId="7" xfId="69" applyNumberFormat="1" applyFont="1" applyFill="1" applyBorder="1" applyAlignment="1" applyProtection="1">
      <alignment vertical="center"/>
      <protection locked="0"/>
    </xf>
    <xf numFmtId="0" fontId="8" fillId="0" borderId="7" xfId="69" applyFont="1" applyFill="1" applyBorder="1" applyAlignment="1" applyProtection="1">
      <alignment vertical="center"/>
      <protection locked="0"/>
    </xf>
    <xf numFmtId="10" fontId="8" fillId="0" borderId="7" xfId="69" applyNumberFormat="1" applyFont="1" applyFill="1" applyBorder="1" applyAlignment="1" applyProtection="1">
      <alignment vertical="center" wrapText="1"/>
    </xf>
    <xf numFmtId="10" fontId="8" fillId="10" borderId="7" xfId="69" applyNumberFormat="1" applyFont="1" applyFill="1" applyBorder="1" applyAlignment="1" applyProtection="1">
      <alignment vertical="center"/>
      <protection locked="0"/>
    </xf>
    <xf numFmtId="0" fontId="8" fillId="0" borderId="0" xfId="69" applyFont="1" applyFill="1" applyBorder="1" applyAlignment="1" applyProtection="1">
      <alignment horizontal="center" vertical="center"/>
      <protection locked="0"/>
    </xf>
    <xf numFmtId="0" fontId="8" fillId="0" borderId="0" xfId="69" applyFont="1" applyFill="1" applyBorder="1" applyAlignment="1" applyProtection="1">
      <alignment vertical="center"/>
      <protection locked="0"/>
    </xf>
    <xf numFmtId="188" fontId="8" fillId="0" borderId="0" xfId="69" applyNumberFormat="1" applyFont="1" applyFill="1" applyBorder="1" applyAlignment="1" applyProtection="1">
      <alignment vertical="center" wrapText="1"/>
      <protection locked="0"/>
    </xf>
    <xf numFmtId="10" fontId="8" fillId="0" borderId="0" xfId="69" applyNumberFormat="1" applyFont="1" applyFill="1" applyBorder="1" applyAlignment="1" applyProtection="1">
      <alignment vertical="center"/>
      <protection locked="0"/>
    </xf>
    <xf numFmtId="0" fontId="8" fillId="6" borderId="27" xfId="69" applyFont="1" applyFill="1" applyBorder="1" applyAlignment="1" applyProtection="1">
      <alignment horizontal="center" vertical="center"/>
      <protection locked="0"/>
    </xf>
    <xf numFmtId="10" fontId="8" fillId="7" borderId="28" xfId="69" applyNumberFormat="1" applyFont="1" applyFill="1" applyBorder="1" applyAlignment="1" applyProtection="1">
      <alignment horizontal="center" vertical="center"/>
    </xf>
    <xf numFmtId="0" fontId="7" fillId="0" borderId="29" xfId="69" applyFont="1" applyFill="1" applyBorder="1" applyAlignment="1" applyProtection="1">
      <alignment horizontal="center" vertical="center"/>
    </xf>
    <xf numFmtId="0" fontId="8" fillId="0" borderId="30" xfId="69" applyFont="1" applyFill="1" applyBorder="1" applyAlignment="1" applyProtection="1">
      <alignment horizontal="center" vertical="center"/>
      <protection locked="0"/>
    </xf>
    <xf numFmtId="10" fontId="8" fillId="0" borderId="31" xfId="69" applyNumberFormat="1" applyFont="1" applyFill="1" applyBorder="1" applyAlignment="1" applyProtection="1">
      <alignment vertical="center"/>
      <protection locked="0"/>
    </xf>
    <xf numFmtId="0" fontId="8" fillId="6" borderId="32" xfId="69" applyFont="1" applyFill="1" applyBorder="1" applyAlignment="1" applyProtection="1">
      <alignment horizontal="center" vertical="center"/>
      <protection locked="0"/>
    </xf>
    <xf numFmtId="10" fontId="8" fillId="7" borderId="33" xfId="69" applyNumberFormat="1" applyFont="1" applyFill="1" applyBorder="1" applyAlignment="1" applyProtection="1">
      <alignment horizontal="center" vertical="center"/>
    </xf>
    <xf numFmtId="0" fontId="7" fillId="0" borderId="34" xfId="69" applyFont="1" applyFill="1" applyBorder="1" applyAlignment="1" applyProtection="1">
      <alignment horizontal="center" vertical="center"/>
    </xf>
    <xf numFmtId="0" fontId="8" fillId="0" borderId="35" xfId="69" applyFont="1" applyFill="1" applyBorder="1" applyAlignment="1" applyProtection="1">
      <alignment horizontal="center" vertical="center"/>
      <protection locked="0"/>
    </xf>
    <xf numFmtId="10" fontId="8" fillId="0" borderId="35" xfId="69" applyNumberFormat="1" applyFont="1" applyFill="1" applyBorder="1" applyAlignment="1" applyProtection="1">
      <alignment vertical="center"/>
      <protection locked="0"/>
    </xf>
    <xf numFmtId="10" fontId="8" fillId="0" borderId="36" xfId="69" applyNumberFormat="1" applyFont="1" applyFill="1" applyBorder="1" applyAlignment="1" applyProtection="1">
      <alignment vertical="center"/>
      <protection locked="0"/>
    </xf>
    <xf numFmtId="0" fontId="6" fillId="0" borderId="0" xfId="69" applyFont="1" applyFill="1" applyBorder="1" applyAlignment="1" applyProtection="1">
      <alignment vertical="center"/>
      <protection locked="0"/>
    </xf>
    <xf numFmtId="0" fontId="6" fillId="0" borderId="0" xfId="69" applyFont="1" applyFill="1" applyBorder="1" applyAlignment="1" applyProtection="1">
      <alignment horizontal="left" vertical="center"/>
      <protection locked="0"/>
    </xf>
    <xf numFmtId="10" fontId="8" fillId="0" borderId="0" xfId="0" applyNumberFormat="1" applyFont="1" applyFill="1" applyAlignment="1" applyProtection="1">
      <alignment vertical="center"/>
      <protection locked="0"/>
    </xf>
    <xf numFmtId="0" fontId="48" fillId="0" borderId="0" xfId="61" applyFont="1" applyFill="1" applyAlignment="1" applyProtection="1">
      <protection locked="0"/>
    </xf>
    <xf numFmtId="0" fontId="6" fillId="0" borderId="0" xfId="61" applyFont="1" applyFill="1" applyAlignment="1" applyProtection="1">
      <alignment horizontal="left"/>
    </xf>
    <xf numFmtId="31" fontId="6" fillId="0" borderId="0" xfId="61" applyNumberFormat="1" applyFont="1" applyFill="1" applyAlignment="1" applyProtection="1">
      <alignment horizontal="center"/>
    </xf>
    <xf numFmtId="0" fontId="43" fillId="0" borderId="0" xfId="61" applyFont="1" applyFill="1" applyAlignment="1" applyProtection="1">
      <alignment horizontal="center"/>
      <protection locked="0"/>
    </xf>
    <xf numFmtId="0" fontId="6" fillId="0" borderId="0" xfId="61" applyFont="1" applyFill="1" applyAlignment="1" applyProtection="1">
      <alignment horizontal="center"/>
      <protection locked="0"/>
    </xf>
    <xf numFmtId="0" fontId="6" fillId="0" borderId="0" xfId="61" applyFont="1" applyFill="1" applyAlignment="1" applyProtection="1">
      <alignment horizontal="right"/>
    </xf>
    <xf numFmtId="0" fontId="7" fillId="6" borderId="7" xfId="61" applyFont="1" applyFill="1" applyBorder="1" applyAlignment="1" applyProtection="1">
      <alignment horizontal="center"/>
      <protection locked="0"/>
    </xf>
    <xf numFmtId="0" fontId="7" fillId="6" borderId="2" xfId="61" applyFont="1" applyFill="1" applyBorder="1" applyAlignment="1" applyProtection="1">
      <alignment horizontal="center"/>
      <protection locked="0"/>
    </xf>
    <xf numFmtId="0" fontId="7" fillId="6" borderId="7" xfId="61" applyFont="1" applyFill="1" applyBorder="1" applyAlignment="1" applyProtection="1">
      <protection locked="0"/>
    </xf>
    <xf numFmtId="0" fontId="8" fillId="6" borderId="7" xfId="61" applyFont="1" applyFill="1" applyBorder="1" applyAlignment="1" applyProtection="1">
      <protection locked="0"/>
    </xf>
    <xf numFmtId="0" fontId="8" fillId="6" borderId="2" xfId="61" applyFont="1" applyFill="1" applyBorder="1" applyAlignment="1" applyProtection="1">
      <protection locked="0"/>
    </xf>
    <xf numFmtId="43" fontId="8" fillId="7" borderId="2" xfId="71" applyNumberFormat="1" applyFont="1" applyFill="1" applyBorder="1" applyAlignment="1" applyProtection="1">
      <alignment horizontal="left" vertical="top" wrapText="1"/>
    </xf>
    <xf numFmtId="43" fontId="8" fillId="7" borderId="7" xfId="71" applyNumberFormat="1" applyFont="1" applyFill="1" applyBorder="1" applyAlignment="1" applyProtection="1">
      <alignment horizontal="left" vertical="top" wrapText="1"/>
    </xf>
    <xf numFmtId="0" fontId="8" fillId="0" borderId="7" xfId="61" applyFont="1" applyFill="1" applyBorder="1" applyAlignment="1" applyProtection="1">
      <protection locked="0"/>
    </xf>
    <xf numFmtId="178" fontId="8" fillId="7" borderId="2" xfId="61" applyNumberFormat="1" applyFont="1" applyFill="1" applyBorder="1" applyAlignment="1" applyProtection="1"/>
    <xf numFmtId="178" fontId="8" fillId="7" borderId="7" xfId="61" applyNumberFormat="1" applyFont="1" applyFill="1" applyBorder="1" applyAlignment="1" applyProtection="1"/>
    <xf numFmtId="178" fontId="8" fillId="7" borderId="7" xfId="61" applyNumberFormat="1" applyFont="1" applyFill="1" applyBorder="1" applyAlignment="1" applyProtection="1">
      <protection locked="0"/>
    </xf>
    <xf numFmtId="10" fontId="8" fillId="7" borderId="2" xfId="61" applyNumberFormat="1" applyFont="1" applyFill="1" applyBorder="1" applyAlignment="1" applyProtection="1"/>
    <xf numFmtId="10" fontId="8" fillId="7" borderId="7" xfId="61" applyNumberFormat="1" applyFont="1" applyFill="1" applyBorder="1" applyAlignment="1" applyProtection="1"/>
    <xf numFmtId="10" fontId="8" fillId="7" borderId="7" xfId="61" applyNumberFormat="1" applyFont="1" applyFill="1" applyBorder="1" applyAlignment="1" applyProtection="1">
      <protection locked="0"/>
    </xf>
    <xf numFmtId="10" fontId="8" fillId="6" borderId="2" xfId="61" applyNumberFormat="1" applyFont="1" applyFill="1" applyBorder="1" applyAlignment="1" applyProtection="1">
      <protection locked="0"/>
    </xf>
    <xf numFmtId="10" fontId="8" fillId="6" borderId="7" xfId="61" applyNumberFormat="1" applyFont="1" applyFill="1" applyBorder="1" applyAlignment="1" applyProtection="1">
      <protection locked="0"/>
    </xf>
    <xf numFmtId="0" fontId="3" fillId="0" borderId="0" xfId="61" applyFont="1" applyFill="1" applyAlignment="1" applyProtection="1">
      <protection locked="0"/>
    </xf>
    <xf numFmtId="43" fontId="8" fillId="0" borderId="2" xfId="61" applyNumberFormat="1" applyFont="1" applyFill="1" applyBorder="1" applyAlignment="1" applyProtection="1">
      <protection locked="0"/>
    </xf>
    <xf numFmtId="43" fontId="8" fillId="0" borderId="7" xfId="61" applyNumberFormat="1" applyFont="1" applyFill="1" applyBorder="1" applyAlignment="1" applyProtection="1">
      <protection locked="0"/>
    </xf>
    <xf numFmtId="43" fontId="8" fillId="7" borderId="7" xfId="61" applyNumberFormat="1" applyFont="1" applyFill="1" applyBorder="1" applyAlignment="1" applyProtection="1"/>
    <xf numFmtId="0" fontId="8" fillId="0" borderId="0" xfId="70" applyFont="1" applyFill="1" applyAlignment="1"/>
    <xf numFmtId="0" fontId="5" fillId="5" borderId="0" xfId="70" applyFont="1" applyFill="1" applyAlignment="1">
      <alignment horizontal="center"/>
    </xf>
    <xf numFmtId="0" fontId="6" fillId="0" borderId="0" xfId="70" applyFont="1" applyFill="1" applyAlignment="1">
      <alignment horizontal="justify"/>
    </xf>
    <xf numFmtId="0" fontId="6" fillId="0" borderId="0" xfId="70" applyFont="1" applyFill="1" applyAlignment="1"/>
    <xf numFmtId="182" fontId="6" fillId="0" borderId="0" xfId="70" applyNumberFormat="1" applyFont="1" applyFill="1" applyBorder="1" applyAlignment="1">
      <alignment horizontal="center"/>
    </xf>
    <xf numFmtId="0" fontId="7" fillId="6" borderId="7" xfId="70" applyFont="1" applyFill="1" applyBorder="1" applyAlignment="1">
      <alignment horizontal="center" vertical="center" wrapText="1"/>
    </xf>
    <xf numFmtId="0" fontId="8" fillId="6" borderId="7" xfId="70" applyFont="1" applyFill="1" applyBorder="1" applyAlignment="1">
      <alignment horizontal="center" vertical="center" wrapText="1"/>
    </xf>
    <xf numFmtId="0" fontId="8" fillId="6" borderId="7" xfId="70" applyFont="1" applyFill="1" applyBorder="1" applyAlignment="1">
      <alignment horizontal="justify" wrapText="1"/>
    </xf>
    <xf numFmtId="43" fontId="27" fillId="7" borderId="7" xfId="70" applyNumberFormat="1" applyFont="1" applyFill="1" applyBorder="1" applyAlignment="1">
      <alignment horizontal="right" wrapText="1"/>
    </xf>
    <xf numFmtId="43" fontId="27" fillId="0" borderId="7" xfId="70" applyNumberFormat="1" applyFont="1" applyFill="1" applyBorder="1" applyAlignment="1"/>
    <xf numFmtId="43" fontId="27" fillId="0" borderId="7" xfId="70" applyNumberFormat="1" applyFont="1" applyFill="1" applyBorder="1" applyAlignment="1">
      <alignment horizontal="right" wrapText="1"/>
    </xf>
    <xf numFmtId="0" fontId="19" fillId="6" borderId="7" xfId="70" applyFont="1" applyFill="1" applyBorder="1" applyAlignment="1">
      <alignment horizontal="justify" wrapText="1"/>
    </xf>
    <xf numFmtId="43" fontId="60" fillId="7" borderId="7" xfId="70" applyNumberFormat="1" applyFont="1" applyFill="1" applyBorder="1" applyAlignment="1">
      <alignment horizontal="right" wrapText="1"/>
    </xf>
    <xf numFmtId="0" fontId="6" fillId="0" borderId="0" xfId="70" applyFont="1" applyFill="1" applyAlignment="1">
      <alignment horizontal="right"/>
    </xf>
    <xf numFmtId="43" fontId="27" fillId="11" borderId="7" xfId="70" applyNumberFormat="1" applyFont="1" applyFill="1" applyBorder="1" applyAlignment="1">
      <alignment horizontal="right" wrapText="1"/>
    </xf>
    <xf numFmtId="0" fontId="48" fillId="0" borderId="0" xfId="71" applyFont="1" applyFill="1" applyAlignment="1" applyProtection="1">
      <protection locked="0"/>
    </xf>
    <xf numFmtId="0" fontId="48" fillId="0" borderId="0" xfId="71" applyFont="1" applyFill="1" applyAlignment="1" applyProtection="1">
      <alignment horizontal="center" vertical="center"/>
      <protection locked="0"/>
    </xf>
    <xf numFmtId="0" fontId="8" fillId="0" borderId="0" xfId="71" applyFont="1" applyFill="1" applyAlignment="1" applyProtection="1">
      <protection locked="0"/>
    </xf>
    <xf numFmtId="0" fontId="8" fillId="0" borderId="0" xfId="71" applyFont="1" applyFill="1" applyAlignment="1" applyProtection="1">
      <alignment horizontal="center" vertical="center"/>
      <protection locked="0"/>
    </xf>
    <xf numFmtId="0" fontId="5" fillId="17" borderId="0" xfId="71" applyFont="1" applyFill="1" applyAlignment="1" applyProtection="1">
      <alignment horizontal="center"/>
      <protection locked="0"/>
    </xf>
    <xf numFmtId="0" fontId="43" fillId="5" borderId="0" xfId="71" applyFont="1" applyFill="1" applyAlignment="1" applyProtection="1">
      <alignment horizontal="center" vertical="center"/>
      <protection locked="0"/>
    </xf>
    <xf numFmtId="0" fontId="6" fillId="0" borderId="0" xfId="71" applyFont="1" applyFill="1" applyAlignment="1" applyProtection="1">
      <protection locked="0"/>
    </xf>
    <xf numFmtId="182" fontId="6" fillId="0" borderId="0" xfId="71" applyNumberFormat="1" applyFont="1" applyFill="1" applyBorder="1" applyAlignment="1" applyProtection="1">
      <alignment horizontal="center"/>
      <protection locked="0"/>
    </xf>
    <xf numFmtId="0" fontId="6" fillId="0" borderId="0" xfId="71" applyFont="1" applyFill="1" applyAlignment="1" applyProtection="1">
      <alignment horizontal="right"/>
      <protection locked="0"/>
    </xf>
    <xf numFmtId="0" fontId="6" fillId="0" borderId="0" xfId="71" applyFont="1" applyFill="1" applyAlignment="1" applyProtection="1">
      <alignment horizontal="left" vertical="center"/>
      <protection locked="0"/>
    </xf>
    <xf numFmtId="0" fontId="7" fillId="6" borderId="7" xfId="71" applyFont="1" applyFill="1" applyBorder="1" applyAlignment="1" applyProtection="1">
      <alignment horizontal="center" vertical="center" wrapText="1"/>
      <protection locked="0"/>
    </xf>
    <xf numFmtId="0" fontId="44" fillId="6" borderId="7" xfId="71" applyFont="1" applyFill="1" applyBorder="1" applyAlignment="1" applyProtection="1">
      <alignment horizontal="center" vertical="center"/>
      <protection locked="0"/>
    </xf>
    <xf numFmtId="0" fontId="7" fillId="6" borderId="7" xfId="71" applyFont="1" applyFill="1" applyBorder="1" applyAlignment="1" applyProtection="1">
      <alignment horizontal="left" vertical="center" wrapText="1"/>
      <protection locked="0"/>
    </xf>
    <xf numFmtId="43" fontId="8" fillId="6" borderId="7" xfId="71" applyNumberFormat="1" applyFont="1" applyFill="1" applyBorder="1" applyAlignment="1" applyProtection="1">
      <alignment horizontal="left" vertical="top" wrapText="1"/>
      <protection locked="0"/>
    </xf>
    <xf numFmtId="0" fontId="8" fillId="0" borderId="7" xfId="71" applyFont="1" applyFill="1" applyBorder="1" applyAlignment="1" applyProtection="1">
      <alignment horizontal="left" vertical="center" wrapText="1" indent="1"/>
      <protection locked="0"/>
    </xf>
    <xf numFmtId="43" fontId="8" fillId="7" borderId="7" xfId="71" applyNumberFormat="1" applyFont="1" applyFill="1" applyBorder="1" applyAlignment="1" applyProtection="1">
      <alignment horizontal="left" vertical="top" wrapText="1"/>
      <protection locked="0"/>
    </xf>
    <xf numFmtId="43" fontId="8" fillId="0" borderId="7" xfId="71" applyNumberFormat="1" applyFont="1" applyFill="1" applyBorder="1" applyAlignment="1" applyProtection="1">
      <alignment horizontal="left" vertical="top" wrapText="1"/>
      <protection locked="0"/>
    </xf>
    <xf numFmtId="0" fontId="10" fillId="6" borderId="7" xfId="71" applyFont="1" applyFill="1" applyBorder="1" applyAlignment="1" applyProtection="1">
      <alignment horizontal="center" vertical="center"/>
      <protection locked="0"/>
    </xf>
    <xf numFmtId="0" fontId="10" fillId="6" borderId="7" xfId="71" applyFont="1" applyFill="1" applyBorder="1" applyAlignment="1" applyProtection="1">
      <alignment horizontal="left" vertical="center" wrapText="1"/>
      <protection locked="0"/>
    </xf>
    <xf numFmtId="0" fontId="8" fillId="7" borderId="7" xfId="71" applyFont="1" applyFill="1" applyBorder="1" applyAlignment="1" applyProtection="1">
      <alignment horizontal="left" vertical="center" wrapText="1" indent="1"/>
      <protection locked="0"/>
    </xf>
    <xf numFmtId="0" fontId="8" fillId="7" borderId="7" xfId="71" applyFont="1" applyFill="1" applyBorder="1" applyAlignment="1" applyProtection="1">
      <alignment horizontal="left" vertical="center" wrapText="1" indent="2"/>
      <protection locked="0"/>
    </xf>
    <xf numFmtId="0" fontId="6" fillId="0" borderId="7" xfId="71" applyFont="1" applyFill="1" applyBorder="1" applyAlignment="1" applyProtection="1">
      <alignment horizontal="left" vertical="center" wrapText="1"/>
      <protection locked="0"/>
    </xf>
    <xf numFmtId="0" fontId="44" fillId="6" borderId="7" xfId="71" applyFont="1" applyFill="1" applyBorder="1" applyAlignment="1" applyProtection="1">
      <alignment horizontal="center" vertical="center" textRotation="255"/>
      <protection locked="0"/>
    </xf>
    <xf numFmtId="0" fontId="9" fillId="0" borderId="7" xfId="71" applyFont="1" applyFill="1" applyBorder="1" applyAlignment="1" applyProtection="1">
      <alignment horizontal="left" vertical="center" wrapText="1"/>
      <protection locked="0"/>
    </xf>
    <xf numFmtId="0" fontId="8" fillId="0" borderId="7" xfId="71" applyFont="1" applyFill="1" applyBorder="1" applyAlignment="1" applyProtection="1">
      <alignment vertical="center"/>
      <protection locked="0"/>
    </xf>
    <xf numFmtId="43" fontId="8" fillId="7" borderId="7" xfId="71" applyNumberFormat="1" applyFont="1" applyFill="1" applyBorder="1" applyAlignment="1" applyProtection="1">
      <protection locked="0"/>
    </xf>
    <xf numFmtId="43" fontId="8" fillId="0" borderId="7" xfId="71" applyNumberFormat="1" applyFont="1" applyFill="1" applyBorder="1" applyAlignment="1" applyProtection="1">
      <protection locked="0"/>
    </xf>
    <xf numFmtId="0" fontId="7" fillId="6" borderId="7" xfId="71" applyFont="1" applyFill="1" applyBorder="1" applyAlignment="1" applyProtection="1">
      <alignment vertical="center"/>
      <protection locked="0"/>
    </xf>
    <xf numFmtId="43" fontId="8" fillId="6" borderId="7" xfId="71" applyNumberFormat="1" applyFont="1" applyFill="1" applyBorder="1" applyAlignment="1" applyProtection="1">
      <protection locked="0"/>
    </xf>
    <xf numFmtId="0" fontId="8" fillId="6" borderId="7" xfId="71" applyFont="1" applyFill="1" applyBorder="1" applyAlignment="1" applyProtection="1">
      <alignment vertical="center"/>
      <protection locked="0"/>
    </xf>
    <xf numFmtId="43" fontId="6" fillId="7" borderId="7" xfId="71" applyNumberFormat="1" applyFont="1" applyFill="1" applyBorder="1" applyAlignment="1" applyProtection="1">
      <alignment horizontal="center" vertical="center"/>
      <protection locked="0"/>
    </xf>
    <xf numFmtId="0" fontId="13" fillId="0" borderId="7" xfId="71" applyFont="1" applyFill="1" applyBorder="1" applyAlignment="1" applyProtection="1">
      <alignment horizontal="left" vertical="center" wrapText="1"/>
    </xf>
    <xf numFmtId="0" fontId="6" fillId="0" borderId="0" xfId="71" applyFont="1" applyFill="1" applyAlignment="1" applyProtection="1">
      <alignment horizontal="center" vertical="center"/>
      <protection locked="0"/>
    </xf>
    <xf numFmtId="0" fontId="43" fillId="0" borderId="0" xfId="71" applyFont="1" applyFill="1" applyAlignment="1" applyProtection="1">
      <alignment horizontal="center" vertical="center"/>
      <protection locked="0"/>
    </xf>
    <xf numFmtId="0" fontId="7" fillId="6" borderId="7" xfId="71" applyFont="1" applyFill="1" applyBorder="1" applyAlignment="1" applyProtection="1">
      <alignment horizontal="justify" vertical="center" wrapText="1"/>
      <protection locked="0"/>
    </xf>
    <xf numFmtId="43" fontId="8" fillId="6" borderId="7" xfId="71" applyNumberFormat="1" applyFont="1" applyFill="1" applyBorder="1" applyAlignment="1" applyProtection="1">
      <alignment horizontal="right" wrapText="1"/>
      <protection locked="0"/>
    </xf>
    <xf numFmtId="0" fontId="8" fillId="0" borderId="1" xfId="71" applyFont="1" applyFill="1" applyBorder="1" applyAlignment="1" applyProtection="1">
      <alignment horizontal="justify" vertical="center" wrapText="1"/>
      <protection locked="0"/>
    </xf>
    <xf numFmtId="43" fontId="8" fillId="7" borderId="1" xfId="71" applyNumberFormat="1" applyFont="1" applyFill="1" applyBorder="1" applyAlignment="1" applyProtection="1">
      <alignment horizontal="right" wrapText="1"/>
      <protection locked="0"/>
    </xf>
    <xf numFmtId="0" fontId="8" fillId="0" borderId="0" xfId="71" applyFont="1" applyFill="1" applyAlignment="1" applyProtection="1">
      <alignment horizontal="center"/>
      <protection locked="0"/>
    </xf>
    <xf numFmtId="0" fontId="8" fillId="0" borderId="7" xfId="71" applyFont="1" applyFill="1" applyBorder="1" applyAlignment="1" applyProtection="1">
      <alignment horizontal="justify" vertical="center" wrapText="1"/>
      <protection locked="0"/>
    </xf>
    <xf numFmtId="43" fontId="8" fillId="7" borderId="7" xfId="71" applyNumberFormat="1" applyFont="1" applyFill="1" applyBorder="1" applyAlignment="1" applyProtection="1">
      <alignment horizontal="right" wrapText="1"/>
      <protection locked="0"/>
    </xf>
    <xf numFmtId="43" fontId="8" fillId="0" borderId="7" xfId="71" applyNumberFormat="1" applyFont="1" applyFill="1" applyBorder="1" applyAlignment="1" applyProtection="1">
      <alignment horizontal="right" wrapText="1"/>
      <protection locked="0"/>
    </xf>
    <xf numFmtId="0" fontId="10" fillId="6" borderId="7" xfId="71" applyFont="1" applyFill="1" applyBorder="1" applyAlignment="1" applyProtection="1">
      <alignment horizontal="left" vertical="center"/>
      <protection locked="0"/>
    </xf>
    <xf numFmtId="0" fontId="12" fillId="0" borderId="0" xfId="33" applyFont="1" applyAlignment="1">
      <alignment horizontal="center"/>
    </xf>
    <xf numFmtId="0" fontId="25" fillId="0" borderId="0" xfId="33" applyFont="1"/>
    <xf numFmtId="0" fontId="8" fillId="0" borderId="0" xfId="33" applyFont="1" applyAlignment="1">
      <alignment horizontal="center"/>
    </xf>
    <xf numFmtId="0" fontId="8" fillId="0" borderId="0" xfId="33" applyFont="1"/>
    <xf numFmtId="43" fontId="8" fillId="0" borderId="0" xfId="33" applyNumberFormat="1" applyFont="1"/>
    <xf numFmtId="43" fontId="8" fillId="0" borderId="0" xfId="33" applyNumberFormat="1" applyFont="1" applyFill="1"/>
    <xf numFmtId="0" fontId="12" fillId="0" borderId="0" xfId="33" applyFont="1"/>
    <xf numFmtId="0" fontId="38" fillId="5" borderId="8" xfId="33" applyFont="1" applyFill="1" applyBorder="1" applyAlignment="1">
      <alignment horizontal="center" vertical="center"/>
    </xf>
    <xf numFmtId="0" fontId="38" fillId="5" borderId="0" xfId="33" applyFont="1" applyFill="1" applyAlignment="1">
      <alignment horizontal="center" vertical="center"/>
    </xf>
    <xf numFmtId="0" fontId="16" fillId="6" borderId="6" xfId="33" applyFont="1" applyFill="1" applyBorder="1" applyAlignment="1">
      <alignment horizontal="center"/>
    </xf>
    <xf numFmtId="43" fontId="16" fillId="6" borderId="6" xfId="33" applyNumberFormat="1" applyFont="1" applyFill="1" applyBorder="1" applyAlignment="1">
      <alignment horizontal="center"/>
    </xf>
    <xf numFmtId="43" fontId="12" fillId="0" borderId="0" xfId="33" applyNumberFormat="1" applyFont="1" applyFill="1" applyBorder="1" applyAlignment="1">
      <alignment horizontal="center"/>
    </xf>
    <xf numFmtId="0" fontId="25" fillId="6" borderId="7" xfId="33" applyFont="1" applyFill="1" applyBorder="1" applyAlignment="1">
      <alignment horizontal="center"/>
    </xf>
    <xf numFmtId="0" fontId="25" fillId="0" borderId="7" xfId="33" applyFont="1" applyFill="1" applyBorder="1"/>
    <xf numFmtId="43" fontId="25" fillId="0" borderId="2" xfId="33" applyNumberFormat="1" applyFont="1" applyFill="1" applyBorder="1" applyProtection="1">
      <protection locked="0"/>
    </xf>
    <xf numFmtId="0" fontId="25" fillId="6" borderId="7" xfId="33" applyFont="1" applyFill="1" applyBorder="1" applyAlignment="1">
      <alignment horizontal="left" vertical="center" wrapText="1"/>
    </xf>
    <xf numFmtId="189" fontId="25" fillId="0" borderId="7" xfId="33" applyNumberFormat="1" applyFont="1" applyFill="1" applyBorder="1" applyAlignment="1" applyProtection="1">
      <alignment vertical="center"/>
      <protection locked="0"/>
    </xf>
    <xf numFmtId="0" fontId="25" fillId="6" borderId="1" xfId="33" applyFont="1" applyFill="1" applyBorder="1" applyAlignment="1">
      <alignment horizontal="left" vertical="center" wrapText="1"/>
    </xf>
    <xf numFmtId="0" fontId="23" fillId="6" borderId="7" xfId="33" applyFont="1" applyFill="1" applyBorder="1" applyAlignment="1">
      <alignment horizontal="center"/>
    </xf>
    <xf numFmtId="43" fontId="23" fillId="7" borderId="2" xfId="33" applyNumberFormat="1" applyFont="1" applyFill="1" applyBorder="1"/>
    <xf numFmtId="0" fontId="25" fillId="0" borderId="7" xfId="33" applyFont="1" applyFill="1" applyBorder="1" applyAlignment="1">
      <alignment horizontal="left"/>
    </xf>
    <xf numFmtId="9" fontId="25" fillId="6" borderId="7" xfId="33" applyNumberFormat="1" applyFont="1" applyFill="1" applyBorder="1" applyAlignment="1">
      <alignment horizontal="center"/>
    </xf>
    <xf numFmtId="9" fontId="25" fillId="6" borderId="2" xfId="33" applyNumberFormat="1" applyFont="1" applyFill="1" applyBorder="1" applyAlignment="1">
      <alignment horizontal="center"/>
    </xf>
    <xf numFmtId="0" fontId="25" fillId="0" borderId="7" xfId="33" applyFont="1" applyFill="1" applyBorder="1" applyAlignment="1">
      <alignment horizontal="center"/>
    </xf>
    <xf numFmtId="43" fontId="25" fillId="7" borderId="2" xfId="33" applyNumberFormat="1" applyFont="1" applyFill="1" applyBorder="1"/>
    <xf numFmtId="0" fontId="25" fillId="7" borderId="7" xfId="33" applyFont="1" applyFill="1" applyBorder="1" applyAlignment="1">
      <alignment horizontal="center"/>
    </xf>
    <xf numFmtId="9" fontId="25" fillId="6" borderId="1" xfId="33" applyNumberFormat="1" applyFont="1" applyFill="1" applyBorder="1" applyAlignment="1">
      <alignment horizontal="center"/>
    </xf>
    <xf numFmtId="178" fontId="25" fillId="0" borderId="2" xfId="33" applyNumberFormat="1" applyFont="1" applyFill="1" applyBorder="1" applyProtection="1">
      <protection locked="0"/>
    </xf>
    <xf numFmtId="0" fontId="25" fillId="7" borderId="4" xfId="33" applyFont="1" applyFill="1" applyBorder="1" applyAlignment="1">
      <alignment horizontal="center"/>
    </xf>
    <xf numFmtId="9" fontId="25" fillId="6" borderId="25" xfId="33" applyNumberFormat="1" applyFont="1" applyFill="1" applyBorder="1" applyAlignment="1">
      <alignment horizontal="center"/>
    </xf>
    <xf numFmtId="43" fontId="25" fillId="0" borderId="0" xfId="33" applyNumberFormat="1" applyFont="1"/>
    <xf numFmtId="43" fontId="25" fillId="7" borderId="4" xfId="33" applyNumberFormat="1" applyFont="1" applyFill="1" applyBorder="1"/>
    <xf numFmtId="43" fontId="25" fillId="7" borderId="2" xfId="33" applyNumberFormat="1" applyFont="1" applyFill="1" applyBorder="1" applyAlignment="1">
      <alignment horizontal="center"/>
    </xf>
    <xf numFmtId="43" fontId="25" fillId="6" borderId="7" xfId="33" applyNumberFormat="1" applyFont="1" applyFill="1" applyBorder="1" applyAlignment="1">
      <alignment horizontal="center"/>
    </xf>
    <xf numFmtId="43" fontId="25" fillId="6" borderId="6" xfId="33" applyNumberFormat="1" applyFont="1" applyFill="1" applyBorder="1" applyAlignment="1">
      <alignment horizontal="center"/>
    </xf>
    <xf numFmtId="43" fontId="25" fillId="0" borderId="7" xfId="33" applyNumberFormat="1" applyFont="1" applyFill="1" applyBorder="1"/>
    <xf numFmtId="43" fontId="25" fillId="0" borderId="0" xfId="33" applyNumberFormat="1" applyFont="1" applyFill="1" applyBorder="1"/>
    <xf numFmtId="43" fontId="23" fillId="7" borderId="7" xfId="33" applyNumberFormat="1" applyFont="1" applyFill="1" applyBorder="1"/>
    <xf numFmtId="43" fontId="23" fillId="6" borderId="7" xfId="73" applyFont="1" applyFill="1" applyBorder="1">
      <alignment vertical="center"/>
    </xf>
    <xf numFmtId="0" fontId="25" fillId="0" borderId="7" xfId="71" applyFont="1" applyFill="1" applyBorder="1"/>
    <xf numFmtId="43" fontId="25" fillId="0" borderId="7" xfId="33" applyNumberFormat="1" applyFont="1" applyFill="1" applyBorder="1" applyAlignment="1">
      <alignment horizontal="right"/>
    </xf>
    <xf numFmtId="0" fontId="23" fillId="6" borderId="7" xfId="33" applyFont="1" applyFill="1" applyBorder="1" applyAlignment="1">
      <alignment horizontal="left"/>
    </xf>
    <xf numFmtId="43" fontId="25" fillId="7" borderId="7" xfId="33" applyNumberFormat="1" applyFont="1" applyFill="1" applyBorder="1"/>
    <xf numFmtId="178" fontId="23" fillId="6" borderId="7" xfId="33" applyNumberFormat="1" applyFont="1" applyFill="1" applyBorder="1" applyAlignment="1">
      <alignment horizontal="left"/>
    </xf>
    <xf numFmtId="43" fontId="23" fillId="7" borderId="2" xfId="33" applyNumberFormat="1" applyFont="1" applyFill="1" applyBorder="1" applyAlignment="1">
      <alignment horizontal="left"/>
    </xf>
    <xf numFmtId="10" fontId="25" fillId="6" borderId="7" xfId="33" applyNumberFormat="1" applyFont="1" applyFill="1" applyBorder="1" applyAlignment="1">
      <alignment horizontal="center"/>
    </xf>
    <xf numFmtId="10" fontId="25" fillId="3" borderId="7" xfId="33" applyNumberFormat="1" applyFont="1" applyFill="1" applyBorder="1"/>
    <xf numFmtId="0" fontId="25" fillId="0" borderId="7" xfId="33" applyFont="1" applyFill="1" applyBorder="1" applyAlignment="1">
      <alignment horizontal="left" wrapText="1"/>
    </xf>
    <xf numFmtId="10" fontId="25" fillId="0" borderId="2" xfId="33" applyNumberFormat="1" applyFont="1" applyFill="1" applyBorder="1"/>
    <xf numFmtId="178" fontId="25" fillId="0" borderId="2" xfId="33" applyNumberFormat="1" applyFont="1" applyFill="1" applyBorder="1"/>
    <xf numFmtId="0" fontId="25" fillId="6" borderId="7" xfId="33" applyFont="1" applyFill="1" applyBorder="1"/>
    <xf numFmtId="43" fontId="25" fillId="0" borderId="0" xfId="33" applyNumberFormat="1" applyFont="1" applyFill="1"/>
    <xf numFmtId="43" fontId="25" fillId="0" borderId="7" xfId="33" applyNumberFormat="1" applyFont="1" applyBorder="1"/>
    <xf numFmtId="0" fontId="55" fillId="0" borderId="0" xfId="33" applyFont="1" applyFill="1" applyAlignment="1">
      <alignment horizontal="center"/>
    </xf>
    <xf numFmtId="0" fontId="5" fillId="5" borderId="0" xfId="29" applyFont="1" applyFill="1" applyBorder="1" applyAlignment="1" applyProtection="1">
      <alignment horizontal="center" vertical="center"/>
      <protection locked="0" hidden="1"/>
    </xf>
    <xf numFmtId="0" fontId="8" fillId="0" borderId="0" xfId="29" applyFont="1" applyFill="1" applyBorder="1" applyAlignment="1" applyProtection="1">
      <alignment vertical="center"/>
      <protection locked="0" hidden="1"/>
    </xf>
    <xf numFmtId="0" fontId="8" fillId="0" borderId="0" xfId="29" applyFont="1" applyFill="1" applyBorder="1" applyAlignment="1" applyProtection="1">
      <alignment horizontal="right" vertical="center"/>
      <protection locked="0" hidden="1"/>
    </xf>
    <xf numFmtId="0" fontId="6" fillId="0" borderId="0" xfId="29" applyFont="1" applyFill="1" applyBorder="1" applyAlignment="1" applyProtection="1">
      <alignment vertical="center"/>
      <protection hidden="1"/>
    </xf>
    <xf numFmtId="0" fontId="6" fillId="0" borderId="0" xfId="29" applyFont="1" applyFill="1" applyBorder="1" applyAlignment="1" applyProtection="1">
      <alignment vertical="center"/>
      <protection locked="0" hidden="1"/>
    </xf>
    <xf numFmtId="31" fontId="6" fillId="0" borderId="0" xfId="29" applyNumberFormat="1" applyFont="1" applyFill="1" applyAlignment="1" applyProtection="1">
      <alignment horizontal="center"/>
      <protection hidden="1"/>
    </xf>
    <xf numFmtId="0" fontId="6" fillId="0" borderId="0" xfId="29" applyFont="1" applyFill="1" applyBorder="1" applyAlignment="1" applyProtection="1">
      <alignment horizontal="right" vertical="center"/>
      <protection hidden="1"/>
    </xf>
    <xf numFmtId="0" fontId="7" fillId="10" borderId="7" xfId="29" applyFont="1" applyFill="1" applyBorder="1" applyAlignment="1" applyProtection="1">
      <alignment horizontal="center" vertical="center"/>
      <protection locked="0" hidden="1"/>
    </xf>
    <xf numFmtId="0" fontId="7" fillId="6" borderId="7" xfId="29" applyNumberFormat="1" applyFont="1" applyFill="1" applyBorder="1" applyAlignment="1" applyProtection="1">
      <alignment horizontal="center" vertical="center"/>
      <protection locked="0" hidden="1"/>
    </xf>
    <xf numFmtId="0" fontId="8" fillId="10" borderId="7" xfId="29" applyFont="1" applyFill="1" applyBorder="1" applyAlignment="1" applyProtection="1">
      <alignment horizontal="left" vertical="center" wrapText="1"/>
      <protection locked="0" hidden="1"/>
    </xf>
    <xf numFmtId="43" fontId="8" fillId="11" borderId="7" xfId="29" applyNumberFormat="1" applyFont="1" applyFill="1" applyBorder="1" applyAlignment="1" applyProtection="1">
      <alignment horizontal="right" vertical="center" wrapText="1"/>
      <protection hidden="1"/>
    </xf>
    <xf numFmtId="0" fontId="19" fillId="10" borderId="7" xfId="29" applyFont="1" applyFill="1" applyBorder="1" applyAlignment="1" applyProtection="1">
      <alignment horizontal="left" vertical="center" wrapText="1"/>
      <protection locked="0" hidden="1"/>
    </xf>
    <xf numFmtId="0" fontId="8" fillId="10" borderId="0" xfId="29" applyFont="1" applyFill="1" applyAlignment="1" applyProtection="1">
      <alignment vertical="center"/>
      <protection locked="0" hidden="1"/>
    </xf>
    <xf numFmtId="43" fontId="8" fillId="10" borderId="7" xfId="29" applyNumberFormat="1" applyFont="1" applyFill="1" applyBorder="1" applyAlignment="1" applyProtection="1">
      <alignment horizontal="right" vertical="center" wrapText="1"/>
      <protection locked="0" hidden="1"/>
    </xf>
    <xf numFmtId="0" fontId="13" fillId="10" borderId="7" xfId="29" applyNumberFormat="1" applyFont="1" applyFill="1" applyBorder="1" applyAlignment="1" applyProtection="1">
      <alignment horizontal="center" vertical="center"/>
      <protection locked="0" hidden="1"/>
    </xf>
    <xf numFmtId="43" fontId="8" fillId="7" borderId="7" xfId="29" applyNumberFormat="1" applyFont="1" applyFill="1" applyBorder="1" applyAlignment="1" applyProtection="1">
      <alignment horizontal="right" vertical="center" wrapText="1"/>
      <protection hidden="1"/>
    </xf>
    <xf numFmtId="0" fontId="7" fillId="6" borderId="2" xfId="29" applyNumberFormat="1" applyFont="1" applyFill="1" applyBorder="1" applyAlignment="1" applyProtection="1">
      <alignment horizontal="center" vertical="center"/>
      <protection locked="0" hidden="1"/>
    </xf>
    <xf numFmtId="0" fontId="7" fillId="6" borderId="3" xfId="29" applyNumberFormat="1" applyFont="1" applyFill="1" applyBorder="1" applyAlignment="1" applyProtection="1">
      <alignment horizontal="center" vertical="center"/>
      <protection locked="0" hidden="1"/>
    </xf>
    <xf numFmtId="0" fontId="7" fillId="6" borderId="4" xfId="29" applyNumberFormat="1" applyFont="1" applyFill="1" applyBorder="1" applyAlignment="1" applyProtection="1">
      <alignment horizontal="center" vertical="center"/>
      <protection locked="0" hidden="1"/>
    </xf>
    <xf numFmtId="0" fontId="7" fillId="10" borderId="7" xfId="29" applyFont="1" applyFill="1" applyBorder="1" applyAlignment="1" applyProtection="1">
      <alignment horizontal="center"/>
      <protection locked="0" hidden="1"/>
    </xf>
    <xf numFmtId="0" fontId="13" fillId="11" borderId="2" xfId="29" applyFont="1" applyFill="1" applyBorder="1" applyAlignment="1" applyProtection="1">
      <alignment horizontal="center"/>
      <protection hidden="1"/>
    </xf>
    <xf numFmtId="0" fontId="13" fillId="11" borderId="3" xfId="29" applyFont="1" applyFill="1" applyBorder="1" applyAlignment="1" applyProtection="1">
      <alignment horizontal="center"/>
      <protection hidden="1"/>
    </xf>
    <xf numFmtId="0" fontId="13" fillId="11" borderId="4" xfId="29" applyFont="1" applyFill="1" applyBorder="1" applyAlignment="1" applyProtection="1">
      <alignment horizontal="center"/>
      <protection hidden="1"/>
    </xf>
    <xf numFmtId="0" fontId="13" fillId="10" borderId="7" xfId="29" applyFont="1" applyFill="1" applyBorder="1" applyAlignment="1" applyProtection="1">
      <alignment horizontal="center"/>
      <protection locked="0" hidden="1"/>
    </xf>
    <xf numFmtId="43" fontId="8" fillId="10" borderId="2" xfId="29" applyNumberFormat="1" applyFont="1" applyFill="1" applyBorder="1" applyAlignment="1" applyProtection="1">
      <alignment horizontal="center" vertical="center" wrapText="1"/>
      <protection locked="0" hidden="1"/>
    </xf>
    <xf numFmtId="43" fontId="8" fillId="10" borderId="3" xfId="29" applyNumberFormat="1" applyFont="1" applyFill="1" applyBorder="1" applyAlignment="1" applyProtection="1">
      <alignment horizontal="center" vertical="center" wrapText="1"/>
      <protection locked="0" hidden="1"/>
    </xf>
    <xf numFmtId="43" fontId="8" fillId="10" borderId="4" xfId="29" applyNumberFormat="1" applyFont="1" applyFill="1" applyBorder="1" applyAlignment="1" applyProtection="1">
      <alignment horizontal="center" vertical="center" wrapText="1"/>
      <protection locked="0" hidden="1"/>
    </xf>
    <xf numFmtId="190" fontId="8" fillId="11" borderId="7" xfId="29" applyNumberFormat="1" applyFont="1" applyFill="1" applyBorder="1" applyAlignment="1" applyProtection="1">
      <alignment horizontal="right" vertical="center" wrapText="1"/>
      <protection hidden="1"/>
    </xf>
    <xf numFmtId="43" fontId="13" fillId="11" borderId="2" xfId="29" applyNumberFormat="1" applyFont="1" applyFill="1" applyBorder="1" applyAlignment="1" applyProtection="1">
      <alignment horizontal="center" vertical="center" wrapText="1"/>
      <protection hidden="1"/>
    </xf>
    <xf numFmtId="43" fontId="13" fillId="11" borderId="3" xfId="29" applyNumberFormat="1" applyFont="1" applyFill="1" applyBorder="1" applyAlignment="1" applyProtection="1">
      <alignment horizontal="center" vertical="center" wrapText="1"/>
      <protection hidden="1"/>
    </xf>
    <xf numFmtId="43" fontId="13" fillId="11" borderId="4" xfId="29" applyNumberFormat="1" applyFont="1" applyFill="1" applyBorder="1" applyAlignment="1" applyProtection="1">
      <alignment horizontal="center" vertical="center" wrapText="1"/>
      <protection hidden="1"/>
    </xf>
    <xf numFmtId="10" fontId="8" fillId="11" borderId="2" xfId="29" applyNumberFormat="1" applyFont="1" applyFill="1" applyBorder="1" applyAlignment="1" applyProtection="1">
      <alignment horizontal="center" vertical="center" wrapText="1"/>
      <protection hidden="1"/>
    </xf>
    <xf numFmtId="10" fontId="8" fillId="11" borderId="4" xfId="29" applyNumberFormat="1" applyFont="1" applyFill="1" applyBorder="1" applyAlignment="1" applyProtection="1">
      <alignment horizontal="center" vertical="center" wrapText="1"/>
      <protection hidden="1"/>
    </xf>
    <xf numFmtId="0" fontId="13" fillId="11" borderId="2" xfId="29" applyNumberFormat="1" applyFont="1" applyFill="1" applyBorder="1" applyAlignment="1" applyProtection="1">
      <alignment horizontal="center" vertical="center" wrapText="1"/>
      <protection hidden="1"/>
    </xf>
    <xf numFmtId="0" fontId="13" fillId="11" borderId="3" xfId="29" applyNumberFormat="1" applyFont="1" applyFill="1" applyBorder="1" applyAlignment="1" applyProtection="1">
      <alignment horizontal="center" vertical="center" wrapText="1"/>
      <protection hidden="1"/>
    </xf>
    <xf numFmtId="0" fontId="13" fillId="11" borderId="4" xfId="29" applyNumberFormat="1" applyFont="1" applyFill="1" applyBorder="1" applyAlignment="1" applyProtection="1">
      <alignment horizontal="center" vertical="center" wrapText="1"/>
      <protection hidden="1"/>
    </xf>
    <xf numFmtId="0" fontId="48" fillId="0" borderId="0" xfId="67" applyProtection="1">
      <protection locked="0"/>
    </xf>
    <xf numFmtId="0" fontId="48" fillId="0" borderId="0" xfId="67" applyFill="1" applyProtection="1">
      <protection locked="0"/>
    </xf>
    <xf numFmtId="0" fontId="48" fillId="0" borderId="0" xfId="67" applyFont="1"/>
    <xf numFmtId="0" fontId="8" fillId="0" borderId="0" xfId="67" applyFont="1" applyProtection="1">
      <protection locked="0"/>
    </xf>
    <xf numFmtId="0" fontId="12" fillId="0" borderId="0" xfId="0" applyFont="1" applyProtection="1">
      <alignment vertical="center"/>
      <protection locked="0"/>
    </xf>
    <xf numFmtId="0" fontId="5" fillId="5" borderId="0" xfId="67" applyFont="1" applyFill="1" applyAlignment="1" applyProtection="1">
      <alignment horizontal="center" vertical="center"/>
      <protection locked="0"/>
    </xf>
    <xf numFmtId="0" fontId="5" fillId="0" borderId="0" xfId="67" applyFont="1" applyFill="1" applyAlignment="1" applyProtection="1">
      <alignment horizontal="center" vertical="center"/>
      <protection locked="0"/>
    </xf>
    <xf numFmtId="0" fontId="8" fillId="0" borderId="0" xfId="67" applyFont="1" applyFill="1" applyProtection="1">
      <protection locked="0"/>
    </xf>
    <xf numFmtId="0" fontId="6" fillId="0" borderId="0" xfId="67" applyFont="1" applyProtection="1">
      <protection locked="0"/>
    </xf>
    <xf numFmtId="187" fontId="6" fillId="0" borderId="0" xfId="44" applyNumberFormat="1" applyFont="1" applyAlignment="1" applyProtection="1">
      <alignment horizontal="center"/>
      <protection locked="0"/>
    </xf>
    <xf numFmtId="0" fontId="6" fillId="0" borderId="0" xfId="67" applyFont="1" applyAlignment="1" applyProtection="1">
      <alignment horizontal="right"/>
      <protection locked="0"/>
    </xf>
    <xf numFmtId="43" fontId="7" fillId="6" borderId="7" xfId="67" applyNumberFormat="1" applyFont="1" applyFill="1" applyBorder="1" applyAlignment="1" applyProtection="1">
      <alignment horizontal="center" vertical="center"/>
      <protection locked="0"/>
    </xf>
    <xf numFmtId="43" fontId="7" fillId="6" borderId="1" xfId="67" applyNumberFormat="1" applyFont="1" applyFill="1" applyBorder="1" applyAlignment="1" applyProtection="1">
      <alignment horizontal="center" vertical="center"/>
      <protection locked="0"/>
    </xf>
    <xf numFmtId="43" fontId="7" fillId="6" borderId="9" xfId="67" applyNumberFormat="1" applyFont="1" applyFill="1" applyBorder="1" applyAlignment="1" applyProtection="1">
      <alignment horizontal="center" vertical="center"/>
      <protection locked="0"/>
    </xf>
    <xf numFmtId="0" fontId="8" fillId="7" borderId="7" xfId="67" applyFont="1" applyFill="1" applyBorder="1" applyAlignment="1" applyProtection="1">
      <alignment horizontal="left" vertical="center" wrapText="1"/>
      <protection locked="0"/>
    </xf>
    <xf numFmtId="43" fontId="8" fillId="0" borderId="2" xfId="67" applyNumberFormat="1" applyFont="1" applyBorder="1" applyAlignment="1" applyProtection="1">
      <alignment horizontal="right" vertical="center" wrapText="1"/>
      <protection locked="0"/>
    </xf>
    <xf numFmtId="43" fontId="8" fillId="0" borderId="7" xfId="67" applyNumberFormat="1" applyFont="1" applyBorder="1" applyAlignment="1" applyProtection="1">
      <alignment horizontal="right" vertical="center" wrapText="1"/>
      <protection locked="0"/>
    </xf>
    <xf numFmtId="10" fontId="8" fillId="7" borderId="7" xfId="67" applyNumberFormat="1" applyFont="1" applyFill="1" applyBorder="1" applyAlignment="1" applyProtection="1">
      <alignment horizontal="right" vertical="center"/>
    </xf>
    <xf numFmtId="10" fontId="8" fillId="7" borderId="2" xfId="67" applyNumberFormat="1" applyFont="1" applyFill="1" applyBorder="1" applyAlignment="1" applyProtection="1">
      <alignment horizontal="right" vertical="center"/>
    </xf>
    <xf numFmtId="0" fontId="8" fillId="0" borderId="7" xfId="67" applyFont="1" applyBorder="1" applyAlignment="1" applyProtection="1">
      <alignment horizontal="left" vertical="center" wrapText="1"/>
      <protection locked="0"/>
    </xf>
    <xf numFmtId="43" fontId="8" fillId="7" borderId="2" xfId="67" applyNumberFormat="1" applyFont="1" applyFill="1" applyBorder="1" applyAlignment="1" applyProtection="1">
      <alignment horizontal="right" vertical="center" wrapText="1"/>
      <protection locked="0"/>
    </xf>
    <xf numFmtId="43" fontId="8" fillId="7" borderId="7" xfId="67" applyNumberFormat="1" applyFont="1" applyFill="1" applyBorder="1" applyAlignment="1" applyProtection="1">
      <alignment horizontal="right" vertical="center" wrapText="1"/>
      <protection locked="0"/>
    </xf>
    <xf numFmtId="43" fontId="8" fillId="0" borderId="2" xfId="67" applyNumberFormat="1" applyFont="1" applyFill="1" applyBorder="1" applyAlignment="1" applyProtection="1">
      <alignment horizontal="right" vertical="center" wrapText="1"/>
      <protection locked="0"/>
    </xf>
    <xf numFmtId="10" fontId="6" fillId="6" borderId="7" xfId="67" applyNumberFormat="1" applyFont="1" applyFill="1" applyBorder="1" applyAlignment="1" applyProtection="1">
      <alignment horizontal="left" vertical="center" wrapText="1"/>
    </xf>
    <xf numFmtId="0" fontId="12" fillId="0" borderId="0" xfId="0" applyFont="1" applyFill="1" applyProtection="1">
      <alignment vertical="center"/>
      <protection locked="0"/>
    </xf>
    <xf numFmtId="0" fontId="48" fillId="0" borderId="0" xfId="29" applyAlignment="1">
      <alignment vertical="center"/>
    </xf>
    <xf numFmtId="0" fontId="48" fillId="0" borderId="0" xfId="29" applyFill="1" applyAlignment="1">
      <alignment vertical="center"/>
    </xf>
    <xf numFmtId="0" fontId="48" fillId="0" borderId="0" xfId="29" applyFont="1" applyAlignment="1">
      <alignment vertical="center"/>
    </xf>
    <xf numFmtId="0" fontId="48" fillId="0" borderId="0" xfId="29" applyNumberFormat="1" applyFont="1" applyFill="1" applyAlignment="1" applyProtection="1">
      <alignment vertical="center"/>
    </xf>
    <xf numFmtId="0" fontId="48" fillId="0" borderId="0" xfId="29" applyFont="1" applyFill="1" applyAlignment="1">
      <alignment vertical="center"/>
    </xf>
    <xf numFmtId="0" fontId="8" fillId="0" borderId="0" xfId="29" applyFont="1"/>
    <xf numFmtId="0" fontId="8" fillId="0" borderId="0" xfId="29" applyFont="1" applyAlignment="1">
      <alignment horizontal="right"/>
    </xf>
    <xf numFmtId="0" fontId="5" fillId="5" borderId="0" xfId="29" applyFont="1" applyFill="1" applyAlignment="1">
      <alignment horizontal="center" vertical="center"/>
    </xf>
    <xf numFmtId="0" fontId="5" fillId="0" borderId="0" xfId="29" applyFont="1" applyFill="1" applyAlignment="1">
      <alignment horizontal="center" vertical="center"/>
    </xf>
    <xf numFmtId="0" fontId="6" fillId="0" borderId="0" xfId="29" applyFont="1" applyBorder="1" applyAlignment="1">
      <alignment vertical="center"/>
    </xf>
    <xf numFmtId="0" fontId="6" fillId="0" borderId="0" xfId="29" applyFont="1" applyAlignment="1">
      <alignment horizontal="center"/>
    </xf>
    <xf numFmtId="0" fontId="6" fillId="0" borderId="0" xfId="29" applyFont="1" applyBorder="1" applyAlignment="1">
      <alignment horizontal="right" vertical="center"/>
    </xf>
    <xf numFmtId="0" fontId="8" fillId="0" borderId="0" xfId="29" applyFont="1" applyAlignment="1">
      <alignment horizontal="right" vertical="center"/>
    </xf>
    <xf numFmtId="0" fontId="7" fillId="6" borderId="7" xfId="29" applyNumberFormat="1" applyFont="1" applyFill="1" applyBorder="1" applyAlignment="1" applyProtection="1">
      <alignment horizontal="center" vertical="center"/>
    </xf>
    <xf numFmtId="0" fontId="7" fillId="6" borderId="2" xfId="29" applyNumberFormat="1" applyFont="1" applyFill="1" applyBorder="1" applyAlignment="1" applyProtection="1">
      <alignment horizontal="center" vertical="center"/>
    </xf>
    <xf numFmtId="0" fontId="8" fillId="6" borderId="7" xfId="29" applyNumberFormat="1" applyFont="1" applyFill="1" applyBorder="1" applyAlignment="1" applyProtection="1">
      <alignment horizontal="left" vertical="center"/>
    </xf>
    <xf numFmtId="0" fontId="8" fillId="6" borderId="2" xfId="29" applyNumberFormat="1" applyFont="1" applyFill="1" applyBorder="1" applyAlignment="1" applyProtection="1">
      <alignment horizontal="left" vertical="center"/>
    </xf>
    <xf numFmtId="0" fontId="8" fillId="0" borderId="7" xfId="29" applyFont="1" applyBorder="1" applyAlignment="1">
      <alignment horizontal="left" vertical="center" wrapText="1"/>
    </xf>
    <xf numFmtId="10" fontId="8" fillId="7" borderId="7" xfId="29" applyNumberFormat="1" applyFont="1" applyFill="1" applyBorder="1" applyAlignment="1">
      <alignment horizontal="right" vertical="center" wrapText="1"/>
    </xf>
    <xf numFmtId="10" fontId="8" fillId="7" borderId="2" xfId="29" applyNumberFormat="1" applyFont="1" applyFill="1" applyBorder="1" applyAlignment="1">
      <alignment horizontal="right" vertical="center" wrapText="1"/>
    </xf>
    <xf numFmtId="0" fontId="8" fillId="7" borderId="7" xfId="29" applyFont="1" applyFill="1" applyBorder="1" applyAlignment="1">
      <alignment horizontal="right" vertical="center"/>
    </xf>
    <xf numFmtId="0" fontId="8" fillId="18" borderId="7" xfId="29" applyNumberFormat="1" applyFont="1" applyFill="1" applyBorder="1" applyAlignment="1" applyProtection="1">
      <alignment horizontal="center" vertical="center"/>
    </xf>
    <xf numFmtId="43" fontId="8" fillId="6" borderId="7" xfId="29" applyNumberFormat="1" applyFont="1" applyFill="1" applyBorder="1" applyAlignment="1" applyProtection="1">
      <alignment horizontal="right" vertical="center"/>
    </xf>
    <xf numFmtId="43" fontId="8" fillId="6" borderId="2" xfId="29" applyNumberFormat="1" applyFont="1" applyFill="1" applyBorder="1" applyAlignment="1" applyProtection="1">
      <alignment horizontal="right" vertical="center"/>
    </xf>
    <xf numFmtId="10" fontId="8" fillId="0" borderId="2" xfId="29" applyNumberFormat="1" applyFont="1" applyBorder="1" applyAlignment="1">
      <alignment horizontal="right" vertical="center" wrapText="1"/>
    </xf>
    <xf numFmtId="10" fontId="8" fillId="0" borderId="7" xfId="29" applyNumberFormat="1" applyFont="1" applyBorder="1" applyAlignment="1">
      <alignment horizontal="right" vertical="center" wrapText="1"/>
    </xf>
    <xf numFmtId="0" fontId="8" fillId="0" borderId="7" xfId="29" applyFont="1" applyBorder="1" applyAlignment="1">
      <alignment horizontal="right" vertical="center"/>
    </xf>
    <xf numFmtId="0" fontId="8" fillId="0" borderId="0" xfId="29" applyNumberFormat="1" applyFont="1" applyFill="1" applyAlignment="1" applyProtection="1">
      <alignment horizontal="center" vertical="center"/>
    </xf>
    <xf numFmtId="43" fontId="8" fillId="0" borderId="0" xfId="29" applyNumberFormat="1" applyFont="1" applyFill="1" applyAlignment="1" applyProtection="1">
      <alignment horizontal="right" vertical="center"/>
    </xf>
    <xf numFmtId="0" fontId="8" fillId="0" borderId="0" xfId="29" applyFont="1" applyFill="1" applyAlignment="1">
      <alignment horizontal="right" vertical="center"/>
    </xf>
    <xf numFmtId="0" fontId="8" fillId="0" borderId="0" xfId="29" applyFont="1" applyAlignment="1">
      <alignment vertical="center"/>
    </xf>
    <xf numFmtId="0" fontId="8" fillId="0" borderId="0" xfId="29" applyFont="1" applyFill="1" applyAlignment="1">
      <alignment vertical="center"/>
    </xf>
    <xf numFmtId="0" fontId="8" fillId="0" borderId="0" xfId="29" applyNumberFormat="1" applyFont="1" applyFill="1" applyAlignment="1" applyProtection="1">
      <alignment vertical="center"/>
    </xf>
    <xf numFmtId="0" fontId="48" fillId="0" borderId="0" xfId="29"/>
    <xf numFmtId="0" fontId="5" fillId="5" borderId="0" xfId="29" applyFont="1" applyFill="1" applyBorder="1" applyAlignment="1">
      <alignment horizontal="center" vertical="center"/>
    </xf>
    <xf numFmtId="0" fontId="5" fillId="0" borderId="0" xfId="29" applyFont="1" applyFill="1" applyBorder="1" applyAlignment="1">
      <alignment horizontal="center" vertical="center"/>
    </xf>
    <xf numFmtId="0" fontId="48" fillId="0" borderId="0" xfId="29" applyFill="1"/>
    <xf numFmtId="43" fontId="8" fillId="0" borderId="7" xfId="29" applyNumberFormat="1" applyFont="1" applyBorder="1" applyAlignment="1">
      <alignment horizontal="right" vertical="center" wrapText="1"/>
    </xf>
    <xf numFmtId="43" fontId="8" fillId="0" borderId="1" xfId="29" applyNumberFormat="1" applyFont="1" applyBorder="1" applyAlignment="1">
      <alignment horizontal="right" vertical="center" wrapText="1"/>
    </xf>
    <xf numFmtId="43" fontId="8" fillId="0" borderId="2" xfId="29" applyNumberFormat="1" applyFont="1" applyBorder="1" applyAlignment="1">
      <alignment horizontal="right" vertical="center" wrapText="1"/>
    </xf>
    <xf numFmtId="0" fontId="8" fillId="0" borderId="7" xfId="29" applyFont="1" applyBorder="1" applyAlignment="1">
      <alignment vertical="center"/>
    </xf>
    <xf numFmtId="43" fontId="8" fillId="0" borderId="6" xfId="29" applyNumberFormat="1" applyFont="1" applyBorder="1" applyAlignment="1">
      <alignment horizontal="right" vertical="center" wrapText="1"/>
    </xf>
    <xf numFmtId="0" fontId="8" fillId="7" borderId="7" xfId="29" applyNumberFormat="1" applyFont="1" applyFill="1" applyBorder="1" applyAlignment="1" applyProtection="1">
      <alignment horizontal="center" vertical="center"/>
    </xf>
    <xf numFmtId="43" fontId="8" fillId="7" borderId="7" xfId="29" applyNumberFormat="1" applyFont="1" applyFill="1" applyBorder="1" applyAlignment="1">
      <alignment horizontal="right" vertical="center" wrapText="1"/>
    </xf>
    <xf numFmtId="0" fontId="3" fillId="0" borderId="0" xfId="29" applyNumberFormat="1" applyFont="1" applyFill="1" applyAlignment="1" applyProtection="1">
      <alignment horizontal="center" vertical="center"/>
    </xf>
    <xf numFmtId="43" fontId="3" fillId="0" borderId="0" xfId="29" applyNumberFormat="1" applyFont="1" applyFill="1" applyAlignment="1" applyProtection="1">
      <alignment horizontal="right" vertical="center"/>
    </xf>
    <xf numFmtId="0" fontId="33" fillId="0" borderId="0" xfId="44" applyFont="1" applyAlignment="1">
      <alignment horizontal="center" vertical="center"/>
    </xf>
    <xf numFmtId="0" fontId="12" fillId="0" borderId="0" xfId="0" applyFont="1" applyFill="1" applyAlignment="1">
      <alignment horizontal="center" vertical="center"/>
    </xf>
    <xf numFmtId="0" fontId="61" fillId="19" borderId="7" xfId="0" applyFont="1" applyFill="1" applyBorder="1" applyAlignment="1" applyProtection="1">
      <alignment horizontal="center" vertical="center"/>
    </xf>
    <xf numFmtId="0" fontId="16" fillId="0" borderId="37" xfId="0" applyFont="1" applyFill="1" applyBorder="1" applyAlignment="1" applyProtection="1">
      <alignment horizontal="center" vertical="center"/>
    </xf>
    <xf numFmtId="0" fontId="16" fillId="0" borderId="5" xfId="0" applyFont="1" applyFill="1" applyBorder="1" applyAlignment="1" applyProtection="1">
      <alignment horizontal="center" vertical="center"/>
    </xf>
    <xf numFmtId="0" fontId="16" fillId="6" borderId="5" xfId="0" applyFont="1" applyFill="1" applyBorder="1" applyAlignment="1" applyProtection="1">
      <alignment horizontal="center" vertical="center"/>
    </xf>
    <xf numFmtId="0" fontId="16" fillId="6" borderId="38" xfId="0" applyFont="1" applyFill="1" applyBorder="1" applyAlignment="1" applyProtection="1">
      <alignment horizontal="center" vertical="center"/>
    </xf>
    <xf numFmtId="0" fontId="29" fillId="0" borderId="7" xfId="0" applyFont="1" applyFill="1" applyBorder="1" applyAlignment="1" applyProtection="1">
      <alignment horizontal="center" vertical="center"/>
    </xf>
    <xf numFmtId="0" fontId="12" fillId="0" borderId="7" xfId="0" applyFont="1" applyFill="1" applyBorder="1" applyAlignment="1" applyProtection="1">
      <alignment horizontal="center" vertical="center"/>
    </xf>
    <xf numFmtId="0" fontId="62" fillId="0" borderId="7" xfId="11" applyFont="1" applyFill="1" applyBorder="1" applyAlignment="1" applyProtection="1">
      <alignment horizontal="center" vertical="center"/>
    </xf>
    <xf numFmtId="0" fontId="20" fillId="0" borderId="1"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63" fillId="0" borderId="7" xfId="11" applyFont="1" applyFill="1" applyBorder="1" applyAlignment="1" applyProtection="1">
      <alignment horizontal="center" vertical="center"/>
    </xf>
    <xf numFmtId="0" fontId="62" fillId="0" borderId="7" xfId="11" applyFont="1" applyBorder="1" applyAlignment="1" applyProtection="1">
      <alignment horizontal="center" vertical="center"/>
    </xf>
    <xf numFmtId="0" fontId="63" fillId="0" borderId="7" xfId="11" applyFont="1" applyBorder="1" applyAlignment="1" applyProtection="1">
      <alignment horizontal="center" vertical="center"/>
    </xf>
    <xf numFmtId="0" fontId="12" fillId="0" borderId="7" xfId="0" applyFont="1" applyFill="1" applyBorder="1" applyAlignment="1">
      <alignment horizontal="center" vertical="center"/>
    </xf>
    <xf numFmtId="0" fontId="62" fillId="0" borderId="7" xfId="11" applyFont="1" applyBorder="1" applyAlignment="1">
      <alignment horizontal="center" vertical="center"/>
    </xf>
    <xf numFmtId="0" fontId="63" fillId="0" borderId="7" xfId="11" applyFont="1" applyBorder="1" applyAlignment="1">
      <alignment horizontal="center" vertical="center"/>
    </xf>
    <xf numFmtId="0" fontId="20" fillId="0" borderId="6" xfId="0" applyFont="1" applyBorder="1" applyAlignment="1" applyProtection="1">
      <alignment horizontal="center" vertical="center" wrapText="1"/>
    </xf>
    <xf numFmtId="0" fontId="64" fillId="20" borderId="0" xfId="0" applyFont="1" applyFill="1" applyAlignment="1">
      <alignment horizontal="center" vertical="center"/>
    </xf>
    <xf numFmtId="0" fontId="0" fillId="21" borderId="0" xfId="0" applyFill="1" applyAlignment="1">
      <alignment horizontal="center" vertical="center"/>
    </xf>
    <xf numFmtId="0" fontId="0" fillId="21" borderId="26" xfId="0" applyFill="1" applyBorder="1" applyAlignment="1">
      <alignment horizontal="center" vertical="center"/>
    </xf>
    <xf numFmtId="0" fontId="65" fillId="19" borderId="0" xfId="0" applyFont="1" applyFill="1" applyAlignment="1">
      <alignment horizontal="center" vertical="center"/>
    </xf>
    <xf numFmtId="0" fontId="65" fillId="21" borderId="0" xfId="0" applyFont="1" applyFill="1" applyAlignment="1">
      <alignment horizontal="center" vertical="center"/>
    </xf>
    <xf numFmtId="0" fontId="65" fillId="19" borderId="0" xfId="0" applyFont="1" applyFill="1" applyAlignment="1">
      <alignment horizontal="center"/>
    </xf>
    <xf numFmtId="179" fontId="8" fillId="6" borderId="7" xfId="58" applyNumberFormat="1" applyFont="1" applyFill="1" applyBorder="1" applyAlignment="1" quotePrefix="1">
      <alignment horizontal="center" vertical="center"/>
    </xf>
    <xf numFmtId="179" fontId="8" fillId="6" borderId="2" xfId="58" applyNumberFormat="1" applyFont="1" applyFill="1" applyBorder="1" applyAlignment="1" quotePrefix="1">
      <alignment horizontal="center" vertical="center"/>
    </xf>
  </cellXfs>
  <cellStyles count="74">
    <cellStyle name="常规" xfId="0" builtinId="0"/>
    <cellStyle name="货币[0]" xfId="1" builtinId="7"/>
    <cellStyle name="20% - 强调文字颜色 3" xfId="2" builtinId="38"/>
    <cellStyle name="输入" xfId="3" builtinId="20"/>
    <cellStyle name="货币" xfId="4" builtinId="4"/>
    <cellStyle name="千位分隔[0]" xfId="5" builtinId="6"/>
    <cellStyle name="常规_复件 Book1"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链接单元格" xfId="28" builtinId="24"/>
    <cellStyle name="常规_资产负债表" xfId="29"/>
    <cellStyle name="20% - 强调文字颜色 6" xfId="30" builtinId="50"/>
    <cellStyle name="强调文字颜色 2" xfId="31" builtinId="33"/>
    <cellStyle name="汇总" xfId="32" builtinId="25"/>
    <cellStyle name="常规_表外数据录入" xfId="33"/>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常规_管理用资负表" xfId="42"/>
    <cellStyle name="常规_杜邦分析体系" xfId="43"/>
    <cellStyle name="常规_管理用利润表" xfId="44"/>
    <cellStyle name="强调文字颜色 3" xfId="45" builtinId="37"/>
    <cellStyle name="强调文字颜色 4" xfId="46" builtinId="41"/>
    <cellStyle name="20% - 强调文字颜色 4" xfId="47" builtinId="42"/>
    <cellStyle name="常规_安全率" xfId="48"/>
    <cellStyle name="40% - 强调文字颜色 4" xfId="49" builtinId="43"/>
    <cellStyle name="强调文字颜色 5" xfId="50" builtinId="45"/>
    <cellStyle name="常规_财务预警分析_阿尔曼模型" xfId="51"/>
    <cellStyle name="40% - 强调文字颜色 5" xfId="52" builtinId="47"/>
    <cellStyle name="常规_财务报表调整" xfId="53"/>
    <cellStyle name="60% - 强调文字颜色 5" xfId="54" builtinId="48"/>
    <cellStyle name="强调文字颜色 6" xfId="55" builtinId="49"/>
    <cellStyle name="40% - 强调文字颜色 6" xfId="56" builtinId="51"/>
    <cellStyle name="60% - 强调文字颜色 6" xfId="57" builtinId="52"/>
    <cellStyle name="常规 2" xfId="58"/>
    <cellStyle name="常规_Sheet27" xfId="59"/>
    <cellStyle name="常规_Sheet27_1" xfId="60"/>
    <cellStyle name="常规_财务比率分析" xfId="61"/>
    <cellStyle name="常规_贷款利息的计算方案" xfId="62"/>
    <cellStyle name="常规_固定需求下期望年总成本随订货量变化模拟模型" xfId="63"/>
    <cellStyle name="常规_固定资产更新决策模型" xfId="64"/>
    <cellStyle name="常规_管理用财务分析体系" xfId="65"/>
    <cellStyle name="常规_管理用现流表" xfId="66"/>
    <cellStyle name="常规_利润表" xfId="67"/>
    <cellStyle name="常规_利润敏感性分析模型" xfId="68"/>
    <cellStyle name="常规_税负监控" xfId="69"/>
    <cellStyle name="常规_所有者权益变动表" xfId="70"/>
    <cellStyle name="常规_现金流量表" xfId="71"/>
    <cellStyle name="常规_销售收入、成本、费用、税金分析表" xfId="72"/>
    <cellStyle name="千位分隔_表外数据录入" xfId="73"/>
  </cellStyles>
  <dxfs count="11">
    <dxf>
      <font>
        <b val="0"/>
        <i val="0"/>
        <color indexed="10"/>
      </font>
      <fill>
        <patternFill patternType="solid">
          <bgColor indexed="34"/>
        </patternFill>
      </fill>
    </dxf>
    <dxf>
      <font>
        <b val="0"/>
        <i val="0"/>
        <color indexed="10"/>
      </font>
      <fill>
        <patternFill patternType="solid">
          <bgColor indexed="13"/>
        </patternFill>
      </fill>
    </dxf>
    <dxf>
      <font>
        <b val="0"/>
        <i val="0"/>
        <color rgb="FF006100"/>
      </font>
      <fill>
        <patternFill patternType="solid">
          <bgColor rgb="FFC6EFCE"/>
        </patternFill>
      </fill>
    </dxf>
    <dxf>
      <font>
        <b val="0"/>
        <i val="0"/>
        <color rgb="FF9C0006"/>
      </font>
      <fill>
        <patternFill patternType="solid">
          <bgColor rgb="FFFFC7CE"/>
        </patternFill>
      </fill>
    </dxf>
    <dxf>
      <font>
        <b val="0"/>
        <i val="0"/>
        <color rgb="FF02AE12"/>
      </font>
    </dxf>
    <dxf>
      <font>
        <b val="0"/>
        <i val="0"/>
        <color rgb="FFFF0000"/>
      </font>
    </dxf>
    <dxf>
      <font>
        <b val="0"/>
        <i val="0"/>
        <color indexed="10"/>
      </font>
    </dxf>
    <dxf>
      <font>
        <b val="1"/>
        <i val="1"/>
        <u val="double"/>
        <color indexed="53"/>
      </font>
    </dxf>
    <dxf>
      <font>
        <b val="0"/>
        <i val="0"/>
        <color rgb="FF02AE12"/>
      </font>
      <fill>
        <patternFill patternType="solid">
          <bgColor theme="6" tint="0.399884029663991"/>
        </patternFill>
      </fill>
    </dxf>
    <dxf>
      <font>
        <name val="宋体"/>
        <scheme val="none"/>
        <b val="0"/>
        <i val="0"/>
        <color rgb="FFFF0000"/>
      </font>
      <fill>
        <patternFill patternType="solid">
          <bgColor indexed="46"/>
        </patternFill>
      </fill>
      <border>
        <left style="thin">
          <color indexed="9"/>
        </left>
        <right style="thin">
          <color indexed="9"/>
        </right>
        <top style="thin">
          <color indexed="9"/>
        </top>
        <bottom style="thin">
          <color indexed="9"/>
        </bottom>
      </border>
    </dxf>
    <dxf>
      <font>
        <b val="0"/>
        <i val="0"/>
        <color indexed="10"/>
      </font>
      <fill>
        <patternFill patternType="solid">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harts/_rels/chart4.xml.rels><?xml version="1.0" encoding="UTF-8" standalone="yes"?>
<Relationships xmlns="http://schemas.openxmlformats.org/package/2006/relationships"><Relationship Id="rId1" Type="http://schemas.openxmlformats.org/officeDocument/2006/relationships/image" Target="../media/image1.jpe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10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10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endParaRPr sz="100" b="0" i="0" u="none" strike="noStrike">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3175">
          <a:noFill/>
        </a:ln>
        <a:effectLst/>
      </c:spPr>
    </c:title>
    <c:autoTitleDeleted val="0"/>
    <c:plotArea>
      <c:layout>
        <c:manualLayout>
          <c:layoutTarget val="inner"/>
          <c:xMode val="edge"/>
          <c:yMode val="edge"/>
          <c:x val="0.0165"/>
          <c:y val="0.0455"/>
          <c:w val="0.9365"/>
          <c:h val="0.92825"/>
        </c:manualLayout>
      </c:layout>
      <c:lineChart>
        <c:grouping val="standard"/>
        <c:varyColors val="0"/>
        <c:ser>
          <c:idx val="0"/>
          <c:order val="0"/>
          <c:tx>
            <c:strRef>
              <c:f>收支对比!$B$3</c:f>
              <c:strCache>
                <c:ptCount val="1"/>
                <c:pt idx="0">
                  <c:v>本年度</c:v>
                </c:pt>
              </c:strCache>
            </c:strRef>
          </c:tx>
          <c:spPr>
            <a:ln w="12700" cap="rnd" cmpd="sng" algn="ctr">
              <a:solidFill>
                <a:srgbClr val="000080">
                  <a:alpha val="100000"/>
                </a:srgbClr>
              </a:solidFill>
              <a:prstDash val="solid"/>
              <a:round/>
            </a:ln>
            <a:effectLst/>
          </c:spPr>
          <c:marker>
            <c:symbol val="none"/>
          </c:marker>
          <c:dLbls>
            <c:delete val="1"/>
          </c:dLbls>
          <c:val>
            <c:numRef>
              <c:f>收支对比!$B$4:$B$5</c:f>
              <c:numCache>
                <c:formatCode>_ * #,##0.00_ ;_ * \-#,##0.00_ ;_ * "-"??_ ;_ @_ </c:formatCode>
                <c:ptCount val="2"/>
                <c:pt idx="0">
                  <c:v>300000</c:v>
                </c:pt>
                <c:pt idx="1">
                  <c:v>55552</c:v>
                </c:pt>
              </c:numCache>
            </c:numRef>
          </c:val>
          <c:smooth val="0"/>
        </c:ser>
        <c:ser>
          <c:idx val="1"/>
          <c:order val="1"/>
          <c:tx>
            <c:strRef>
              <c:f>收支对比!$C$3</c:f>
              <c:strCache>
                <c:ptCount val="1"/>
                <c:pt idx="0">
                  <c:v>上年度</c:v>
                </c:pt>
              </c:strCache>
            </c:strRef>
          </c:tx>
          <c:spPr>
            <a:ln w="12700" cap="rnd" cmpd="sng" algn="ctr">
              <a:solidFill>
                <a:srgbClr val="FF00FF"/>
              </a:solidFill>
              <a:prstDash val="solid"/>
              <a:round/>
            </a:ln>
            <a:effectLst/>
          </c:spPr>
          <c:marker>
            <c:symbol val="none"/>
          </c:marker>
          <c:dLbls>
            <c:delete val="1"/>
          </c:dLbls>
          <c:val>
            <c:numRef>
              <c:f>收支对比!$C$4:$C$5</c:f>
              <c:numCache>
                <c:formatCode>_ * #,##0.00_ ;_ * \-#,##0.00_ ;_ * "-"??_ ;_ @_ </c:formatCode>
                <c:ptCount val="2"/>
                <c:pt idx="0">
                  <c:v>160000</c:v>
                </c:pt>
                <c:pt idx="1">
                  <c:v>34441</c:v>
                </c:pt>
              </c:numCache>
            </c:numRef>
          </c:val>
          <c:smooth val="0"/>
        </c:ser>
        <c:dLbls>
          <c:showLegendKey val="0"/>
          <c:showVal val="0"/>
          <c:showCatName val="0"/>
          <c:showSerName val="0"/>
          <c:showPercent val="0"/>
          <c:showBubbleSize val="0"/>
        </c:dLbls>
        <c:marker val="0"/>
        <c:smooth val="0"/>
        <c:axId val="82203776"/>
        <c:axId val="82205312"/>
      </c:lineChart>
      <c:catAx>
        <c:axId val="82203776"/>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205312"/>
        <c:crosses val="autoZero"/>
        <c:auto val="1"/>
        <c:lblAlgn val="ctr"/>
        <c:lblOffset val="100"/>
        <c:noMultiLvlLbl val="0"/>
      </c:catAx>
      <c:valAx>
        <c:axId val="82205312"/>
        <c:scaling>
          <c:orientation val="minMax"/>
        </c:scaling>
        <c:delete val="0"/>
        <c:axPos val="l"/>
        <c:majorGridlines>
          <c:spPr>
            <a:ln w="3175" cap="flat" cmpd="sng" algn="ctr">
              <a:solidFill>
                <a:srgbClr val="000000">
                  <a:alpha val="100000"/>
                </a:srgbClr>
              </a:solidFill>
              <a:prstDash val="solid"/>
              <a:round/>
            </a:ln>
            <a:effectLst/>
          </c:spPr>
        </c:majorGridlines>
        <c:numFmt formatCode="_ * #,##0.00_ ;_ * \-#,##0.00_ ;_ * &quot;-&quot;??_ ;_ @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203776"/>
        <c:crosses val="autoZero"/>
        <c:crossBetween val="between"/>
      </c:valAx>
      <c:spPr>
        <a:solidFill>
          <a:srgbClr val="FFFFFF"/>
        </a:solidFill>
        <a:ln w="12700">
          <a:solidFill>
            <a:srgbClr val="808080">
              <a:alpha val="100000"/>
            </a:srgbClr>
          </a:solidFill>
          <a:prstDash val="solid"/>
        </a:ln>
        <a:effectLst/>
      </c:spPr>
    </c:plotArea>
    <c:legend>
      <c:legendPos val="r"/>
      <c:layout>
        <c:manualLayout>
          <c:xMode val="edge"/>
          <c:yMode val="edge"/>
          <c:x val="0.963"/>
          <c:y val="0.50625"/>
          <c:w val="0.035"/>
          <c:h val="0.0042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00" b="0" i="0" u="none" strike="noStrike" kern="1200" baseline="0">
                <a:solidFill>
                  <a:srgbClr val="000000">
                    <a:alpha val="100000"/>
                  </a:srgbClr>
                </a:solidFill>
                <a:latin typeface="Times New Roman" panose="02020603050405020304" charset="-122"/>
                <a:ea typeface="Times New Roman" panose="02020603050405020304" charset="-122"/>
                <a:cs typeface="Times New Roman" panose="02020603050405020304" charset="-122"/>
              </a:defRPr>
            </a:pPr>
            <a:r>
              <a:t>销售收入、费用对比表</a:t>
            </a:r>
            <a:endParaRPr sz="900" b="0" i="0" u="none" strike="noStrike">
              <a:solidFill>
                <a:srgbClr val="000000">
                  <a:alpha val="100000"/>
                </a:srgbClr>
              </a:solidFill>
              <a:latin typeface="Times New Roman" panose="02020603050405020304" charset="-122"/>
              <a:ea typeface="Times New Roman" panose="02020603050405020304" charset="-122"/>
              <a:cs typeface="Times New Roman" panose="02020603050405020304" charset="-122"/>
            </a:endParaRPr>
          </a:p>
        </c:rich>
      </c:tx>
      <c:layout>
        <c:manualLayout>
          <c:x val="-0.00675"/>
          <c:y val="0"/>
        </c:manualLayout>
      </c:layout>
      <c:overlay val="0"/>
      <c:spPr>
        <a:noFill/>
        <a:ln w="3175">
          <a:noFill/>
        </a:ln>
        <a:effectLst/>
      </c:spPr>
    </c:title>
    <c:autoTitleDeleted val="0"/>
    <c:plotArea>
      <c:layout>
        <c:manualLayout>
          <c:layoutTarget val="inner"/>
          <c:xMode val="edge"/>
          <c:yMode val="edge"/>
          <c:x val="0.08"/>
          <c:y val="0.20175"/>
          <c:w val="0.744750000000001"/>
          <c:h val="0.670000000000001"/>
        </c:manualLayout>
      </c:layout>
      <c:lineChart>
        <c:grouping val="standard"/>
        <c:varyColors val="0"/>
        <c:ser>
          <c:idx val="0"/>
          <c:order val="0"/>
          <c:tx>
            <c:strRef>
              <c:f>收支分析!$B$3</c:f>
              <c:strCache>
                <c:ptCount val="1"/>
                <c:pt idx="0">
                  <c:v>营业收入</c:v>
                </c:pt>
              </c:strCache>
            </c:strRef>
          </c:tx>
          <c:spPr>
            <a:ln w="12700" cap="rnd" cmpd="sng" algn="ctr">
              <a:solidFill>
                <a:srgbClr val="000080"/>
              </a:solidFill>
              <a:prstDash val="solid"/>
              <a:round/>
            </a:ln>
            <a:effectLst/>
          </c:spPr>
          <c:marker>
            <c:symbol val="none"/>
          </c:marker>
          <c:dLbls>
            <c:delete val="1"/>
          </c:dLbls>
          <c:val>
            <c:numRef>
              <c:f>收支分析!$B$4:$B$15</c:f>
              <c:numCache>
                <c:formatCode>0.00_ </c:formatCode>
                <c:ptCount val="12"/>
              </c:numCache>
            </c:numRef>
          </c:val>
          <c:smooth val="0"/>
        </c:ser>
        <c:ser>
          <c:idx val="1"/>
          <c:order val="1"/>
          <c:tx>
            <c:strRef>
              <c:f>收支分析!$E$3</c:f>
              <c:strCache>
                <c:ptCount val="1"/>
                <c:pt idx="0">
                  <c:v>营业税金及附加</c:v>
                </c:pt>
              </c:strCache>
            </c:strRef>
          </c:tx>
          <c:spPr>
            <a:ln w="12700" cap="rnd" cmpd="sng" algn="ctr">
              <a:solidFill>
                <a:srgbClr val="FF00FF"/>
              </a:solidFill>
              <a:prstDash val="solid"/>
              <a:round/>
            </a:ln>
            <a:effectLst/>
          </c:spPr>
          <c:marker>
            <c:symbol val="none"/>
          </c:marker>
          <c:dLbls>
            <c:delete val="1"/>
          </c:dLbls>
          <c:val>
            <c:numRef>
              <c:f>收支分析!$E$4:$E$15</c:f>
              <c:numCache>
                <c:formatCode>0.00_ </c:formatCode>
                <c:ptCount val="12"/>
              </c:numCache>
            </c:numRef>
          </c:val>
          <c:smooth val="0"/>
        </c:ser>
        <c:dLbls>
          <c:showLegendKey val="0"/>
          <c:showVal val="0"/>
          <c:showCatName val="0"/>
          <c:showSerName val="0"/>
          <c:showPercent val="0"/>
          <c:showBubbleSize val="0"/>
        </c:dLbls>
        <c:marker val="0"/>
        <c:smooth val="0"/>
        <c:axId val="82625664"/>
        <c:axId val="82627200"/>
      </c:lineChart>
      <c:catAx>
        <c:axId val="82625664"/>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627200"/>
        <c:crosses val="autoZero"/>
        <c:auto val="1"/>
        <c:lblAlgn val="ctr"/>
        <c:lblOffset val="100"/>
        <c:noMultiLvlLbl val="0"/>
      </c:catAx>
      <c:valAx>
        <c:axId val="82627200"/>
        <c:scaling>
          <c:orientation val="minMax"/>
        </c:scaling>
        <c:delete val="0"/>
        <c:axPos val="l"/>
        <c:majorGridlines>
          <c:spPr>
            <a:ln w="3175" cap="flat" cmpd="sng" algn="ctr">
              <a:solidFill>
                <a:srgbClr val="000000">
                  <a:alpha val="100000"/>
                </a:srgbClr>
              </a:solidFill>
              <a:prstDash val="solid"/>
              <a:round/>
            </a:ln>
            <a:effectLst/>
          </c:spPr>
        </c:majorGridlines>
        <c:numFmt formatCode="0.00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625664"/>
        <c:crosses val="autoZero"/>
        <c:crossBetween val="between"/>
      </c:valAx>
      <c:spPr>
        <a:noFill/>
        <a:ln w="3175">
          <a:noFill/>
        </a:ln>
        <a:effectLst/>
      </c:spPr>
    </c:plotArea>
    <c:legend>
      <c:legendPos val="r"/>
      <c:layout>
        <c:manualLayout>
          <c:xMode val="edge"/>
          <c:yMode val="edge"/>
          <c:x val="0.3465"/>
          <c:y val="0.166"/>
          <c:w val="0.322"/>
          <c:h val="0.1427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8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1"/>
          <c:order val="1"/>
          <c:tx>
            <c:strRef>
              <c:f>表外数据录入!#REF!</c:f>
              <c:strCache>
                <c:ptCount val="1"/>
                <c:pt idx="0">
                  <c:v/>
                </c:pt>
              </c:strCache>
            </c:strRef>
          </c:tx>
          <c:spPr>
            <a:ln w="12700" cap="rnd" cmpd="sng" algn="ctr">
              <a:solidFill>
                <a:srgbClr val="FF00FF"/>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2"/>
          <c:order val="2"/>
          <c:tx>
            <c:strRef>
              <c:f>表外数据录入!#REF!</c:f>
              <c:strCache>
                <c:ptCount val="1"/>
                <c:pt idx="0">
                  <c:v/>
                </c:pt>
              </c:strCache>
            </c:strRef>
          </c:tx>
          <c:spPr>
            <a:ln w="12700" cap="rnd" cmpd="sng" algn="ctr">
              <a:solidFill>
                <a:srgbClr val="FFFF0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3"/>
          <c:order val="3"/>
          <c:tx>
            <c:strRef>
              <c:f>表外数据录入!#REF!</c:f>
              <c:strCache>
                <c:ptCount val="1"/>
                <c:pt idx="0">
                  <c:v/>
                </c:pt>
              </c:strCache>
            </c:strRef>
          </c:tx>
          <c:spPr>
            <a:ln w="12700" cap="rnd" cmpd="sng" algn="ctr">
              <a:solidFill>
                <a:srgbClr val="00FFFF"/>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4"/>
          <c:order val="4"/>
          <c:tx>
            <c:strRef>
              <c:f>表外数据录入!#REF!</c:f>
              <c:strCache>
                <c:ptCount val="1"/>
                <c:pt idx="0">
                  <c:v/>
                </c:pt>
              </c:strCache>
            </c:strRef>
          </c:tx>
          <c:spPr>
            <a:ln w="12700" cap="rnd" cmpd="sng" algn="ctr">
              <a:solidFill>
                <a:srgbClr val="8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735168"/>
        <c:axId val="89736704"/>
      </c:lineChart>
      <c:catAx>
        <c:axId val="897351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736704"/>
        <c:crosses val="autoZero"/>
        <c:auto val="1"/>
        <c:lblAlgn val="ctr"/>
        <c:lblOffset val="100"/>
        <c:noMultiLvlLbl val="0"/>
      </c:catAx>
      <c:valAx>
        <c:axId val="897367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73516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89757184"/>
        <c:axId val="89758720"/>
      </c:barChart>
      <c:catAx>
        <c:axId val="897571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758720"/>
        <c:crosses val="autoZero"/>
        <c:auto val="1"/>
        <c:lblAlgn val="ctr"/>
        <c:lblOffset val="100"/>
        <c:noMultiLvlLbl val="0"/>
      </c:catAx>
      <c:valAx>
        <c:axId val="897587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75718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2925"/>
          <c:h val="0.46275"/>
        </c:manualLayout>
      </c:layout>
      <c:barChart>
        <c:barDir val="col"/>
        <c:grouping val="clustered"/>
        <c:varyColors val="0"/>
        <c:ser>
          <c:idx val="0"/>
          <c:order val="0"/>
          <c:tx>
            <c:strRef>
              <c:f>表外数据录入!#REF!</c:f>
              <c:strCache>
                <c:ptCount val="1"/>
                <c:pt idx="0">
                  <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表外数据录入!#REF!</c:f>
              <c:strCache>
                <c:ptCount val="1"/>
                <c:pt idx="0">
                  <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2"/>
          <c:order val="2"/>
          <c:tx>
            <c:strRef>
              <c:f>表外数据录入!#REF!</c:f>
              <c:strCache>
                <c:ptCount val="1"/>
                <c:pt idx="0">
                  <c:v/>
                </c:pt>
              </c:strCache>
            </c:strRef>
          </c:tx>
          <c:spPr>
            <a:solidFill>
              <a:srgbClr val="FFFFCC"/>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3"/>
          <c:order val="3"/>
          <c:tx>
            <c:strRef>
              <c:f>表外数据录入!#REF!</c:f>
              <c:strCache>
                <c:ptCount val="1"/>
                <c:pt idx="0">
                  <c:v/>
                </c:pt>
              </c:strCache>
            </c:strRef>
          </c:tx>
          <c:spPr>
            <a:solidFill>
              <a:srgbClr val="CCFF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89944832"/>
        <c:axId val="89946368"/>
      </c:barChart>
      <c:catAx>
        <c:axId val="89944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946368"/>
        <c:crosses val="autoZero"/>
        <c:auto val="1"/>
        <c:lblAlgn val="ctr"/>
        <c:lblOffset val="100"/>
        <c:noMultiLvlLbl val="0"/>
      </c:catAx>
      <c:valAx>
        <c:axId val="899463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94483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135"/>
          <c:h val="0.403"/>
        </c:manualLayout>
      </c:layout>
      <c:barChart>
        <c:barDir val="col"/>
        <c:grouping val="clustered"/>
        <c:varyColors val="0"/>
        <c:ser>
          <c:idx val="0"/>
          <c:order val="0"/>
          <c:tx>
            <c:strRef>
              <c:f>表外数据录入!#REF!</c:f>
              <c:strCache>
                <c:ptCount val="1"/>
                <c:pt idx="0">
                  <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表外数据录入!#REF!</c:f>
              <c:strCache>
                <c:ptCount val="1"/>
                <c:pt idx="0">
                  <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2"/>
          <c:order val="2"/>
          <c:tx>
            <c:strRef>
              <c:f>表外数据录入!#REF!</c:f>
              <c:strCache>
                <c:ptCount val="1"/>
                <c:pt idx="0">
                  <c:v/>
                </c:pt>
              </c:strCache>
            </c:strRef>
          </c:tx>
          <c:spPr>
            <a:solidFill>
              <a:srgbClr val="FFFFCC"/>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3"/>
          <c:order val="3"/>
          <c:tx>
            <c:strRef>
              <c:f>表外数据录入!#REF!</c:f>
              <c:strCache>
                <c:ptCount val="1"/>
                <c:pt idx="0">
                  <c:v/>
                </c:pt>
              </c:strCache>
            </c:strRef>
          </c:tx>
          <c:spPr>
            <a:solidFill>
              <a:srgbClr val="CCFF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89858048"/>
        <c:axId val="89859584"/>
      </c:barChart>
      <c:catAx>
        <c:axId val="898580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859584"/>
        <c:crosses val="autoZero"/>
        <c:auto val="1"/>
        <c:lblAlgn val="ctr"/>
        <c:lblOffset val="100"/>
        <c:noMultiLvlLbl val="0"/>
      </c:catAx>
      <c:valAx>
        <c:axId val="898595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85804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89908736"/>
        <c:axId val="89910272"/>
      </c:barChart>
      <c:catAx>
        <c:axId val="899087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910272"/>
        <c:crosses val="autoZero"/>
        <c:auto val="1"/>
        <c:lblAlgn val="ctr"/>
        <c:lblOffset val="100"/>
        <c:noMultiLvlLbl val="0"/>
      </c:catAx>
      <c:valAx>
        <c:axId val="899102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9087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90004480"/>
        <c:axId val="90010368"/>
      </c:barChart>
      <c:catAx>
        <c:axId val="900044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010368"/>
        <c:crosses val="autoZero"/>
        <c:auto val="1"/>
        <c:lblAlgn val="ctr"/>
        <c:lblOffset val="100"/>
        <c:noMultiLvlLbl val="0"/>
      </c:catAx>
      <c:valAx>
        <c:axId val="900103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00448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90043136"/>
        <c:axId val="90044672"/>
      </c:barChart>
      <c:catAx>
        <c:axId val="900431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044672"/>
        <c:crosses val="autoZero"/>
        <c:auto val="1"/>
        <c:lblAlgn val="ctr"/>
        <c:lblOffset val="100"/>
        <c:noMultiLvlLbl val="0"/>
      </c:catAx>
      <c:valAx>
        <c:axId val="900446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0431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0"/>
          <c:showSerName val="0"/>
          <c:showPercent val="0"/>
          <c:showBubbleSize val="0"/>
        </c:dLbls>
        <c:gapWidth val="150"/>
        <c:axId val="90163456"/>
        <c:axId val="90169344"/>
      </c:barChart>
      <c:catAx>
        <c:axId val="901634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169344"/>
        <c:crosses val="autoZero"/>
        <c:auto val="1"/>
        <c:lblAlgn val="ctr"/>
        <c:lblOffset val="100"/>
        <c:noMultiLvlLbl val="0"/>
      </c:catAx>
      <c:valAx>
        <c:axId val="9016934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16345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5"/>
          <c:y val="0.06"/>
          <c:w val="0.852"/>
          <c:h val="0.58075"/>
        </c:manualLayout>
      </c:layout>
      <c:barChart>
        <c:barDir val="col"/>
        <c:grouping val="clustered"/>
        <c:varyColors val="0"/>
        <c:ser>
          <c:idx val="0"/>
          <c:order val="0"/>
          <c:tx>
            <c:strRef>
              <c:f>[2]C产品成本分析表!$B$14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[2]C产品成本分析表!$C$14:$N$14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[2]C产品成本分析表!$B$15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[2]C产品成本分析表!$C$15:$N$15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[2]C产品成本分析表!$B$16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[2]C产品成本分析表!$C$16:$N$16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[2]C产品成本分析表!$B$17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[2]C产品成本分析表!$C$17:$N$17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0203648"/>
        <c:axId val="90205184"/>
      </c:barChart>
      <c:catAx>
        <c:axId val="902036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205184"/>
        <c:crosses val="autoZero"/>
        <c:auto val="1"/>
        <c:lblAlgn val="ctr"/>
        <c:lblOffset val="100"/>
        <c:noMultiLvlLbl val="0"/>
      </c:catAx>
      <c:valAx>
        <c:axId val="902051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20364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138"/>
          <c:y val="0.81525"/>
          <c:w val="0.453432186528559"/>
          <c:h val="0.17325800376647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225"/>
          <c:y val="0.09025"/>
          <c:w val="0.9035"/>
          <c:h val="0.6205"/>
        </c:manualLayout>
      </c:layout>
      <c:lineChart>
        <c:grouping val="standard"/>
        <c:varyColors val="0"/>
        <c:ser>
          <c:idx val="0"/>
          <c:order val="0"/>
          <c:tx>
            <c:strRef>
              <c:f>[2]C产品成本分析表!$B$11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[2]C产品成本分析表!$C$11:$N$11</c:f>
              <c:numCache>
                <c:formatCode>General</c:formatCode>
                <c:ptCount val="12"/>
              </c:numCache>
            </c:numRef>
          </c:val>
          <c:smooth val="0"/>
        </c:ser>
        <c:ser>
          <c:idx val="1"/>
          <c:order val="1"/>
          <c:tx>
            <c:strRef>
              <c:f>[2]C产品成本分析表!$B$12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[2]C产品成本分析表!$C$12:$N$12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90233856"/>
        <c:axId val="90317568"/>
      </c:lineChart>
      <c:catAx>
        <c:axId val="902338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317568"/>
        <c:crosses val="autoZero"/>
        <c:auto val="1"/>
        <c:lblAlgn val="ctr"/>
        <c:lblOffset val="100"/>
        <c:noMultiLvlLbl val="0"/>
      </c:catAx>
      <c:valAx>
        <c:axId val="903175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23385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4925"/>
          <c:y val="0.86775"/>
          <c:w val="0.49275"/>
          <c:h val="0.11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0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900" b="0" i="0" u="none" strike="noStrike">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3175">
          <a:noFill/>
        </a:ln>
        <a:effectLst/>
      </c:spPr>
    </c:title>
    <c:autoTitleDeleted val="0"/>
    <c:plotArea>
      <c:layout>
        <c:manualLayout>
          <c:layoutTarget val="inner"/>
          <c:xMode val="edge"/>
          <c:yMode val="edge"/>
          <c:x val="0.22325"/>
          <c:y val="0.1085"/>
          <c:w val="0.71425"/>
          <c:h val="0.753750000000001"/>
        </c:manualLayout>
      </c:layout>
      <c:lineChart>
        <c:grouping val="standard"/>
        <c:varyColors val="0"/>
        <c:ser>
          <c:idx val="0"/>
          <c:order val="0"/>
          <c:tx>
            <c:strRef>
              <c:f>收支分析!$H$3</c:f>
              <c:strCache>
                <c:ptCount val="1"/>
                <c:pt idx="0">
                  <c:v>销售税金率</c:v>
                </c:pt>
              </c:strCache>
            </c:strRef>
          </c:tx>
          <c:spPr>
            <a:ln w="12700" cap="rnd" cmpd="sng" algn="ctr">
              <a:solidFill>
                <a:srgbClr val="000080"/>
              </a:solidFill>
              <a:prstDash val="solid"/>
              <a:round/>
            </a:ln>
            <a:effectLst/>
          </c:spPr>
          <c:marker>
            <c:symbol val="none"/>
          </c:marker>
          <c:dLbls>
            <c:delete val="1"/>
          </c:dLbls>
          <c:val>
            <c:numRef>
              <c:f>收支分析!$H$4:$H$15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2790656"/>
        <c:axId val="82804736"/>
      </c:lineChart>
      <c:catAx>
        <c:axId val="82790656"/>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1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804736"/>
        <c:crosses val="autoZero"/>
        <c:auto val="1"/>
        <c:lblAlgn val="ctr"/>
        <c:lblOffset val="100"/>
        <c:noMultiLvlLbl val="0"/>
      </c:catAx>
      <c:valAx>
        <c:axId val="82804736"/>
        <c:scaling>
          <c:orientation val="minMax"/>
        </c:scaling>
        <c:delete val="0"/>
        <c:axPos val="l"/>
        <c:majorGridlines>
          <c:spPr>
            <a:ln w="3175" cap="flat" cmpd="sng" algn="ctr">
              <a:solidFill>
                <a:srgbClr val="000000">
                  <a:alpha val="100000"/>
                </a:srgbClr>
              </a:solidFill>
              <a:prstDash val="solid"/>
              <a:round/>
            </a:ln>
            <a:effectLst/>
          </c:spPr>
        </c:majorGridlines>
        <c:numFmt formatCode="0.00%"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1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790656"/>
        <c:crosses val="autoZero"/>
        <c:crossBetween val="between"/>
      </c:valAx>
      <c:spPr>
        <a:noFill/>
        <a:ln w="3175">
          <a:noFill/>
        </a:ln>
        <a:effectLst/>
      </c:spPr>
    </c:plotArea>
    <c:legend>
      <c:legendPos val="r"/>
      <c:layout>
        <c:manualLayout>
          <c:xMode val="edge"/>
          <c:yMode val="edge"/>
          <c:x val="0.69275"/>
          <c:y val="0"/>
          <c:w val="0.24475"/>
          <c:h val="0.113"/>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
          <c:y val="0.06825"/>
          <c:w val="0.90025"/>
          <c:h val="0.59"/>
        </c:manualLayout>
      </c:layout>
      <c:lineChart>
        <c:grouping val="standard"/>
        <c:varyColors val="0"/>
        <c:ser>
          <c:idx val="0"/>
          <c:order val="0"/>
          <c:tx>
            <c:strRef>
              <c:f>[2]C产品成本分析表!$B$5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[2]C产品成本分析表!$C$5:$N$5</c:f>
              <c:numCache>
                <c:formatCode>General</c:formatCode>
                <c:ptCount val="12"/>
              </c:numCache>
            </c:numRef>
          </c:val>
          <c:smooth val="0"/>
        </c:ser>
        <c:ser>
          <c:idx val="1"/>
          <c:order val="1"/>
          <c:tx>
            <c:strRef>
              <c:f>[2]C产品成本分析表!$B$6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[2]C产品成本分析表!$C$6:$N$6</c:f>
              <c:numCache>
                <c:formatCode>General</c:formatCode>
                <c:ptCount val="12"/>
              </c:numCache>
            </c:numRef>
          </c:val>
          <c:smooth val="0"/>
        </c:ser>
        <c:ser>
          <c:idx val="2"/>
          <c:order val="2"/>
          <c:tx>
            <c:strRef>
              <c:f>[2]C产品成本分析表!$B$7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[2]C产品成本分析表!$C$7:$N$7</c:f>
              <c:numCache>
                <c:formatCode>General</c:formatCode>
                <c:ptCount val="12"/>
              </c:numCache>
            </c:numRef>
          </c:val>
          <c:smooth val="0"/>
        </c:ser>
        <c:ser>
          <c:idx val="3"/>
          <c:order val="3"/>
          <c:tx>
            <c:strRef>
              <c:f>[2]C产品成本分析表!$B$8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[2]C产品成本分析表!$C$8:$N$8</c:f>
              <c:numCache>
                <c:formatCode>General</c:formatCode>
                <c:ptCount val="12"/>
              </c:numCache>
            </c:numRef>
          </c:val>
          <c:smooth val="0"/>
        </c:ser>
        <c:ser>
          <c:idx val="4"/>
          <c:order val="4"/>
          <c:tx>
            <c:strRef>
              <c:f>[2]C产品成本分析表!$B$11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[2]C产品成本分析表!$C$11:$N$11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90360832"/>
        <c:axId val="90370816"/>
      </c:lineChart>
      <c:catAx>
        <c:axId val="90360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370816"/>
        <c:crosses val="autoZero"/>
        <c:auto val="1"/>
        <c:lblAlgn val="ctr"/>
        <c:lblOffset val="100"/>
        <c:noMultiLvlLbl val="0"/>
      </c:catAx>
      <c:valAx>
        <c:axId val="9037081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36083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55"/>
          <c:h val="0.209"/>
        </c:manualLayout>
      </c:layout>
      <c:lineChart>
        <c:grouping val="standard"/>
        <c:varyColors val="0"/>
        <c:ser>
          <c:idx val="0"/>
          <c:order val="0"/>
          <c:tx>
            <c:strRef>
              <c:f>现金流量表!#REF!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1"/>
          <c:order val="1"/>
          <c:tx>
            <c:strRef>
              <c:f>现金流量表!#REF!</c:f>
              <c:strCache>
                <c:ptCount val="1"/>
                <c:pt idx="0">
                  <c:v/>
                </c:pt>
              </c:strCache>
            </c:strRef>
          </c:tx>
          <c:spPr>
            <a:ln w="12700" cap="rnd" cmpd="sng" algn="ctr">
              <a:solidFill>
                <a:srgbClr val="FF00FF"/>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412160"/>
        <c:axId val="90413696"/>
      </c:lineChart>
      <c:catAx>
        <c:axId val="904121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413696"/>
        <c:crosses val="autoZero"/>
        <c:auto val="1"/>
        <c:lblAlgn val="ctr"/>
        <c:lblOffset val="100"/>
        <c:noMultiLvlLbl val="0"/>
      </c:catAx>
      <c:valAx>
        <c:axId val="9041369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41216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429696"/>
        <c:axId val="90521600"/>
      </c:lineChart>
      <c:catAx>
        <c:axId val="904296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521600"/>
        <c:crosses val="autoZero"/>
        <c:auto val="1"/>
        <c:lblAlgn val="ctr"/>
        <c:lblOffset val="100"/>
        <c:noMultiLvlLbl val="0"/>
      </c:catAx>
      <c:valAx>
        <c:axId val="905216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42969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
          <c:h val="0.3582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1"/>
          <c:order val="1"/>
          <c:tx>
            <c:strRef>
              <c:f>现金流量表!#REF!</c:f>
              <c:strCache>
                <c:ptCount val="1"/>
                <c:pt idx="0">
                  <c:v/>
                </c:pt>
              </c:strCache>
            </c:strRef>
          </c:tx>
          <c:spPr>
            <a:ln w="12700" cap="rnd" cmpd="sng" algn="ctr">
              <a:solidFill>
                <a:srgbClr val="FF00FF"/>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554752"/>
        <c:axId val="90556288"/>
      </c:lineChart>
      <c:catAx>
        <c:axId val="9055475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556288"/>
        <c:crosses val="autoZero"/>
        <c:auto val="1"/>
        <c:lblAlgn val="ctr"/>
        <c:lblOffset val="100"/>
        <c:noMultiLvlLbl val="0"/>
      </c:catAx>
      <c:valAx>
        <c:axId val="9055628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55475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461696"/>
        <c:axId val="90463232"/>
      </c:lineChart>
      <c:catAx>
        <c:axId val="904616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463232"/>
        <c:crosses val="autoZero"/>
        <c:auto val="1"/>
        <c:lblAlgn val="ctr"/>
        <c:lblOffset val="100"/>
        <c:noMultiLvlLbl val="0"/>
      </c:catAx>
      <c:valAx>
        <c:axId val="904632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46169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
          <c:h val="0.388"/>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1"/>
          <c:order val="1"/>
          <c:tx>
            <c:strRef>
              <c:f>现金流量表!#REF!</c:f>
              <c:strCache>
                <c:ptCount val="1"/>
                <c:pt idx="0">
                  <c:v/>
                </c:pt>
              </c:strCache>
            </c:strRef>
          </c:tx>
          <c:spPr>
            <a:ln w="12700" cap="rnd" cmpd="sng" algn="ctr">
              <a:solidFill>
                <a:srgbClr val="FF00FF"/>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660224"/>
        <c:axId val="90666112"/>
      </c:lineChart>
      <c:catAx>
        <c:axId val="906602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666112"/>
        <c:crosses val="autoZero"/>
        <c:auto val="1"/>
        <c:lblAlgn val="ctr"/>
        <c:lblOffset val="100"/>
        <c:noMultiLvlLbl val="0"/>
      </c:catAx>
      <c:valAx>
        <c:axId val="9066611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66022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698496"/>
        <c:axId val="90700032"/>
      </c:lineChart>
      <c:catAx>
        <c:axId val="906984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700032"/>
        <c:crosses val="autoZero"/>
        <c:auto val="1"/>
        <c:lblAlgn val="ctr"/>
        <c:lblOffset val="100"/>
        <c:noMultiLvlLbl val="0"/>
      </c:catAx>
      <c:valAx>
        <c:axId val="907000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69849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5"/>
          <c:y val="0.35825"/>
          <c:w val="0.776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589056"/>
        <c:axId val="90590592"/>
      </c:lineChart>
      <c:catAx>
        <c:axId val="905890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590592"/>
        <c:crosses val="autoZero"/>
        <c:auto val="1"/>
        <c:lblAlgn val="ctr"/>
        <c:lblOffset val="100"/>
        <c:noMultiLvlLbl val="0"/>
      </c:catAx>
      <c:valAx>
        <c:axId val="9059059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58905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25"/>
          <c:y val="0.1195"/>
          <c:w val="0.91625"/>
          <c:h val="0.104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1"/>
          <c:order val="1"/>
          <c:tx>
            <c:strRef>
              <c:f>现金流量表!#REF!</c:f>
              <c:strCache>
                <c:ptCount val="1"/>
                <c:pt idx="0">
                  <c:v/>
                </c:pt>
              </c:strCache>
            </c:strRef>
          </c:tx>
          <c:spPr>
            <a:ln w="12700" cap="rnd" cmpd="sng" algn="ctr">
              <a:solidFill>
                <a:srgbClr val="FF00FF"/>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2"/>
          <c:order val="2"/>
          <c:tx>
            <c:strRef>
              <c:f>现金流量表!#REF!</c:f>
              <c:strCache>
                <c:ptCount val="1"/>
                <c:pt idx="0">
                  <c:v/>
                </c:pt>
              </c:strCache>
            </c:strRef>
          </c:tx>
          <c:spPr>
            <a:ln w="12700" cap="rnd" cmpd="sng" algn="ctr">
              <a:solidFill>
                <a:srgbClr val="FFFF0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3"/>
          <c:order val="3"/>
          <c:tx>
            <c:strRef>
              <c:f>现金流量表!#REF!</c:f>
              <c:strCache>
                <c:ptCount val="1"/>
                <c:pt idx="0">
                  <c:v/>
                </c:pt>
              </c:strCache>
            </c:strRef>
          </c:tx>
          <c:spPr>
            <a:ln w="12700" cap="rnd" cmpd="sng" algn="ctr">
              <a:solidFill>
                <a:srgbClr val="00FFFF"/>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4"/>
          <c:order val="4"/>
          <c:tx>
            <c:strRef>
              <c:f>现金流量表!#REF!</c:f>
              <c:strCache>
                <c:ptCount val="1"/>
                <c:pt idx="0">
                  <c:v/>
                </c:pt>
              </c:strCache>
            </c:strRef>
          </c:tx>
          <c:spPr>
            <a:ln w="12700" cap="rnd" cmpd="sng" algn="ctr">
              <a:solidFill>
                <a:srgbClr val="8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747264"/>
        <c:axId val="90748800"/>
      </c:lineChart>
      <c:catAx>
        <c:axId val="907472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748800"/>
        <c:crosses val="autoZero"/>
        <c:auto val="1"/>
        <c:lblAlgn val="ctr"/>
        <c:lblOffset val="100"/>
        <c:noMultiLvlLbl val="0"/>
      </c:catAx>
      <c:valAx>
        <c:axId val="907488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74726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a:defRPr lang="zh-CN" sz="1800" b="1" i="0" u="none" strike="noStrike" kern="1200" baseline="0">
                <a:solidFill>
                  <a:schemeClr val="tx1"/>
                </a:solidFill>
                <a:latin typeface="+mn-lt"/>
                <a:ea typeface="+mn-ea"/>
                <a:cs typeface="+mn-cs"/>
              </a:defRPr>
            </a:pPr>
            <a:r>
              <a:rPr lang="en-US" altLang="en-US"/>
              <a:t>X Variable 1 Line Fit  Plot</a:t>
            </a:r>
            <a:endParaRPr lang="en-US" altLang="en-US" sz="1800" b="1" i="0" u="none" strike="noStrike" baseline="0">
              <a:solidFill>
                <a:srgbClr val="000000">
                  <a:alpha val="100000"/>
                </a:srgbClr>
              </a:solidFill>
              <a:effectLst/>
              <a:latin typeface="Calibri" panose="020F0502020204030204" charset="0"/>
              <a:ea typeface="Calibri" panose="020F0502020204030204" charset="0"/>
              <a:cs typeface="Calibri" panose="020F0502020204030204" charset="0"/>
            </a:endParaRPr>
          </a:p>
        </c:rich>
      </c:tx>
      <c:layout/>
      <c:overlay val="0"/>
      <c:spPr>
        <a:noFill/>
        <a:ln w="9525">
          <a:noFill/>
        </a:ln>
        <a:effectLst/>
      </c:spPr>
    </c:title>
    <c:autoTitleDeleted val="0"/>
    <c:plotArea>
      <c:layout/>
      <c:scatterChart>
        <c:scatterStyle val="marker"/>
        <c:varyColors val="0"/>
        <c:ser>
          <c:idx val="0"/>
          <c:order val="0"/>
          <c:tx>
            <c:strRef>
              <c:f>"Y"</c:f>
              <c:strCache>
                <c:ptCount val="1"/>
                <c:pt idx="0">
                  <c:v>Y</c:v>
                </c:pt>
              </c:strCache>
            </c:strRef>
          </c:tx>
          <c:spPr>
            <a:ln w="28575" cap="rnd" cmpd="sng" algn="ctr">
              <a:noFill/>
              <a:prstDash val="solid"/>
              <a:round/>
            </a:ln>
            <a:effectLst/>
          </c:spPr>
          <c:marker>
            <c:symbol val="diamond"/>
            <c:size val="5"/>
            <c:spPr>
              <a:solidFill>
                <a:schemeClr val="accent1"/>
              </a:solidFill>
              <a:ln w="6350" cap="flat" cmpd="sng" algn="ctr">
                <a:solidFill>
                  <a:schemeClr val="accent1"/>
                </a:solidFill>
                <a:prstDash val="solid"/>
                <a:round/>
              </a:ln>
              <a:effectLst/>
            </c:spPr>
          </c:marker>
          <c:dLbls>
            <c:delete val="1"/>
          </c:dLbls>
          <c:xVal>
            <c:numRef>
              <c:f>[1]时间序列!$B$5:$B$20</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xVal>
          <c:yVal>
            <c:numRef>
              <c:f>[1]时间序列!$C$5:$C$20</c:f>
              <c:numCache>
                <c:formatCode>General</c:formatCode>
                <c:ptCount val="16"/>
                <c:pt idx="0">
                  <c:v>3017.6</c:v>
                </c:pt>
                <c:pt idx="1">
                  <c:v>3043.54</c:v>
                </c:pt>
                <c:pt idx="2">
                  <c:v>2094.35</c:v>
                </c:pt>
                <c:pt idx="3">
                  <c:v>2809.84</c:v>
                </c:pt>
                <c:pt idx="4">
                  <c:v>3274.8</c:v>
                </c:pt>
                <c:pt idx="5">
                  <c:v>3163.28</c:v>
                </c:pt>
                <c:pt idx="6">
                  <c:v>2114.31</c:v>
                </c:pt>
                <c:pt idx="7">
                  <c:v>3024.57</c:v>
                </c:pt>
                <c:pt idx="8">
                  <c:v>3327.48</c:v>
                </c:pt>
                <c:pt idx="9">
                  <c:v>3493.48</c:v>
                </c:pt>
                <c:pt idx="10">
                  <c:v>2439.93</c:v>
                </c:pt>
                <c:pt idx="11">
                  <c:v>3490.79</c:v>
                </c:pt>
                <c:pt idx="12">
                  <c:v>3685.08</c:v>
                </c:pt>
                <c:pt idx="13">
                  <c:v>3661.23</c:v>
                </c:pt>
                <c:pt idx="14">
                  <c:v>2378.43</c:v>
                </c:pt>
                <c:pt idx="15">
                  <c:v>3459.55</c:v>
                </c:pt>
              </c:numCache>
            </c:numRef>
          </c:yVal>
          <c:smooth val="0"/>
        </c:ser>
        <c:ser>
          <c:idx val="1"/>
          <c:order val="1"/>
          <c:tx>
            <c:strRef>
              <c:f>"预测 Y"</c:f>
              <c:strCache>
                <c:ptCount val="1"/>
                <c:pt idx="0">
                  <c:v>预测 Y</c:v>
                </c:pt>
              </c:strCache>
            </c:strRef>
          </c:tx>
          <c:spPr>
            <a:ln w="28575" cap="rnd" cmpd="sng" algn="ctr">
              <a:noFill/>
              <a:prstDash val="solid"/>
              <a:round/>
            </a:ln>
            <a:effectLst/>
          </c:spPr>
          <c:marker>
            <c:symbol val="square"/>
            <c:size val="5"/>
            <c:spPr>
              <a:solidFill>
                <a:schemeClr val="accent2"/>
              </a:solidFill>
              <a:ln w="6350" cap="flat" cmpd="sng" algn="ctr">
                <a:solidFill>
                  <a:schemeClr val="accent2"/>
                </a:solidFill>
                <a:prstDash val="solid"/>
                <a:round/>
              </a:ln>
              <a:effectLst/>
            </c:spPr>
          </c:marker>
          <c:dLbls>
            <c:delete val="1"/>
          </c:dLbls>
          <c:xVal>
            <c:numRef>
              <c:f>[1]时间序列!$B$5:$B$20</c:f>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xVal>
          <c:yVal>
            <c:numRef>
              <c:f>[1]时间序列!$L$28:$L$43</c:f>
              <c:numCache>
                <c:formatCode>General</c:formatCode>
                <c:ptCount val="16"/>
                <c:pt idx="0">
                  <c:v>2749.39941176471</c:v>
                </c:pt>
                <c:pt idx="1">
                  <c:v>2786.79832352941</c:v>
                </c:pt>
                <c:pt idx="2">
                  <c:v>2824.19723529412</c:v>
                </c:pt>
                <c:pt idx="3">
                  <c:v>2861.59614705882</c:v>
                </c:pt>
                <c:pt idx="4">
                  <c:v>2898.99505882353</c:v>
                </c:pt>
                <c:pt idx="5">
                  <c:v>2936.39397058824</c:v>
                </c:pt>
                <c:pt idx="6">
                  <c:v>2973.79288235294</c:v>
                </c:pt>
                <c:pt idx="7">
                  <c:v>3011.19179411765</c:v>
                </c:pt>
                <c:pt idx="8">
                  <c:v>3048.59070588235</c:v>
                </c:pt>
                <c:pt idx="9">
                  <c:v>3085.98961764706</c:v>
                </c:pt>
                <c:pt idx="10">
                  <c:v>3123.38852941177</c:v>
                </c:pt>
                <c:pt idx="11">
                  <c:v>3160.78744117647</c:v>
                </c:pt>
                <c:pt idx="12">
                  <c:v>3198.18635294118</c:v>
                </c:pt>
                <c:pt idx="13">
                  <c:v>3235.58526470588</c:v>
                </c:pt>
                <c:pt idx="14">
                  <c:v>3272.98417647059</c:v>
                </c:pt>
                <c:pt idx="15">
                  <c:v>3310.38308823529</c:v>
                </c:pt>
              </c:numCache>
            </c:numRef>
          </c:yVal>
          <c:smooth val="0"/>
        </c:ser>
        <c:dLbls>
          <c:showLegendKey val="0"/>
          <c:showVal val="0"/>
          <c:showCatName val="0"/>
          <c:showSerName val="0"/>
          <c:showPercent val="0"/>
          <c:showBubbleSize val="0"/>
        </c:dLbls>
        <c:axId val="84160512"/>
        <c:axId val="84163200"/>
      </c:scatterChart>
      <c:valAx>
        <c:axId val="84160512"/>
        <c:scaling>
          <c:orientation val="minMax"/>
        </c:scaling>
        <c:delete val="0"/>
        <c:axPos val="b"/>
        <c:title>
          <c:tx>
            <c:rich>
              <a:bodyPr rot="0" spcFirstLastPara="0" vertOverflow="ellipsis" vert="horz" wrap="square" anchor="ctr" anchorCtr="1"/>
              <a:lstStyle/>
              <a:p>
                <a:pPr algn="ctr">
                  <a:defRPr lang="zh-CN" sz="1000" b="1" i="0" u="none" strike="noStrike" kern="1200" baseline="0">
                    <a:solidFill>
                      <a:schemeClr val="tx1"/>
                    </a:solidFill>
                    <a:latin typeface="+mn-lt"/>
                    <a:ea typeface="+mn-ea"/>
                    <a:cs typeface="+mn-cs"/>
                  </a:defRPr>
                </a:pPr>
                <a:r>
                  <a:rPr lang="en-US" altLang="en-US"/>
                  <a:t>X Variable 1</a:t>
                </a:r>
                <a:endParaRPr lang="en-US" altLang="en-US" sz="1000" b="1" i="0" u="none" strike="noStrike" baseline="0">
                  <a:solidFill>
                    <a:srgbClr val="000000">
                      <a:alpha val="100000"/>
                    </a:srgbClr>
                  </a:solidFill>
                  <a:effectLst/>
                  <a:latin typeface="Calibri" panose="020F0502020204030204" charset="0"/>
                  <a:ea typeface="Calibri" panose="020F0502020204030204" charset="0"/>
                  <a:cs typeface="Calibri" panose="020F0502020204030204" charset="0"/>
                </a:endParaRPr>
              </a:p>
            </c:rich>
          </c:tx>
          <c:layout/>
          <c:overlay val="0"/>
          <c:spPr>
            <a:noFill/>
            <a:ln w="9525">
              <a:noFill/>
            </a:ln>
            <a:effectLst/>
          </c:spPr>
        </c:title>
        <c:numFmt formatCode="General" sourceLinked="1"/>
        <c:majorTickMark val="out"/>
        <c:minorTickMark val="none"/>
        <c:tickLblPos val="nextTo"/>
        <c:spPr>
          <a:noFill/>
          <a:ln w="9525" cap="flat" cmpd="sng" algn="ctr">
            <a:no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chemeClr val="tx1"/>
                </a:solidFill>
                <a:latin typeface="+mn-lt"/>
                <a:ea typeface="+mn-ea"/>
                <a:cs typeface="+mn-cs"/>
              </a:defRPr>
            </a:pPr>
          </a:p>
        </c:txPr>
        <c:crossAx val="84163200"/>
        <c:crosses val="autoZero"/>
        <c:crossBetween val="midCat"/>
      </c:valAx>
      <c:valAx>
        <c:axId val="84163200"/>
        <c:scaling>
          <c:orientation val="minMax"/>
        </c:scaling>
        <c:delete val="0"/>
        <c:axPos val="l"/>
        <c:title>
          <c:tx>
            <c:rich>
              <a:bodyPr rot="-5400000" spcFirstLastPara="0" vertOverflow="ellipsis" vert="horz" wrap="square" anchor="ctr" anchorCtr="1"/>
              <a:lstStyle/>
              <a:p>
                <a:pPr algn="ctr">
                  <a:defRPr lang="zh-CN" sz="1000" b="1" i="0" u="none" strike="noStrike" kern="1200" baseline="0">
                    <a:solidFill>
                      <a:schemeClr val="tx1"/>
                    </a:solidFill>
                    <a:latin typeface="+mn-lt"/>
                    <a:ea typeface="+mn-ea"/>
                    <a:cs typeface="+mn-cs"/>
                  </a:defRPr>
                </a:pPr>
                <a:r>
                  <a:rPr lang="en-US" altLang="en-US"/>
                  <a:t>Y</a:t>
                </a:r>
                <a:endParaRPr lang="en-US" altLang="en-US" sz="1000" b="1" i="0" u="none" strike="noStrike" baseline="0">
                  <a:solidFill>
                    <a:srgbClr val="000000">
                      <a:alpha val="100000"/>
                    </a:srgbClr>
                  </a:solidFill>
                  <a:effectLst/>
                  <a:latin typeface="Calibri" panose="020F0502020204030204" charset="0"/>
                  <a:ea typeface="Calibri" panose="020F0502020204030204" charset="0"/>
                  <a:cs typeface="Calibri" panose="020F0502020204030204" charset="0"/>
                </a:endParaRPr>
              </a:p>
            </c:rich>
          </c:tx>
          <c:layout/>
          <c:overlay val="0"/>
          <c:spPr>
            <a:noFill/>
            <a:ln w="9525">
              <a:noFill/>
            </a:ln>
            <a:effectLst/>
          </c:spPr>
        </c:title>
        <c:numFmt formatCode="General" sourceLinked="1"/>
        <c:majorTickMark val="out"/>
        <c:minorTickMark val="none"/>
        <c:tickLblPos val="nextTo"/>
        <c:spPr>
          <a:noFill/>
          <a:ln w="9525" cap="flat" cmpd="sng" algn="ctr">
            <a:no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chemeClr val="tx1"/>
                </a:solidFill>
                <a:latin typeface="+mn-lt"/>
                <a:ea typeface="+mn-ea"/>
                <a:cs typeface="+mn-cs"/>
              </a:defRPr>
            </a:pPr>
          </a:p>
        </c:txPr>
        <c:crossAx val="84160512"/>
        <c:crosses val="autoZero"/>
        <c:crossBetween val="midCat"/>
      </c:valAx>
      <c:spPr>
        <a:solidFill>
          <a:srgbClr val="FFFFFF">
            <a:alpha val="100000"/>
          </a:srgbClr>
        </a:solidFill>
        <a:ln w="9525">
          <a:noFill/>
        </a:ln>
        <a:effectLst/>
      </c:spPr>
    </c:plotArea>
    <c:legend>
      <c:legendPos val="r"/>
      <c:layout/>
      <c:overlay val="0"/>
      <c:spPr>
        <a:noFill/>
        <a:ln w="9525">
          <a:noFill/>
        </a:ln>
        <a:effectLst/>
      </c:spPr>
      <c:txPr>
        <a:bodyPr rot="0" spcFirstLastPara="0" vertOverflow="ellipsis" horzOverflow="overflow" vert="horz" wrap="square" anchor="ctr" anchorCtr="1"/>
        <a:lstStyle/>
        <a:p>
          <a:pPr>
            <a:defRPr lang="zh-CN" sz="1000" b="0" i="0" u="none" strike="noStrike" kern="1200" baseline="0">
              <a:solidFill>
                <a:schemeClr val="tx1"/>
              </a:solidFill>
              <a:latin typeface="+mn-lt"/>
              <a:ea typeface="+mn-ea"/>
              <a:cs typeface="+mn-cs"/>
            </a:defRPr>
          </a:pPr>
        </a:p>
      </c:txPr>
    </c:legend>
    <c:plotVisOnly val="1"/>
    <c:dispBlanksAs val="gap"/>
    <c:showDLblsOverMax val="0"/>
  </c:chart>
  <c:spPr>
    <a:solidFill>
      <a:srgbClr val="FFFFFF">
        <a:alpha val="100000"/>
      </a:srgbClr>
    </a:solidFill>
    <a:ln w="9525" cap="flat" cmpd="sng" algn="ctr">
      <a:solidFill>
        <a:srgbClr val="808080">
          <a:alpha val="100000"/>
        </a:srgbClr>
      </a:solidFill>
      <a:prstDash val="solid"/>
      <a:round/>
    </a:ln>
    <a:effectLst/>
  </c:spPr>
  <c:txPr>
    <a:bodyPr rot="0" spcFirstLastPara="0" vertOverflow="ellipsis" horzOverflow="overflow" vert="horz" wrap="square" anchor="ctr" anchorCtr="1"/>
    <a:lstStyle/>
    <a:p>
      <a:pPr>
        <a:defRPr lang="zh-CN"/>
      </a:pPr>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现金流量表!#REF!</c:f>
              <c:strCache>
                <c:ptCount val="1"/>
                <c:pt idx="0">
                  <c:v/>
                </c:pt>
              </c:strCache>
            </c:strRef>
          </c:tx>
          <c:spPr>
            <a:ln w="12700" cap="rnd" cmpd="sng" algn="ctr">
              <a:solidFill>
                <a:srgbClr val="00008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1"/>
          <c:order val="1"/>
          <c:tx>
            <c:strRef>
              <c:f>现金流量表!#REF!</c:f>
              <c:strCache>
                <c:ptCount val="1"/>
                <c:pt idx="0">
                  <c:v/>
                </c:pt>
              </c:strCache>
            </c:strRef>
          </c:tx>
          <c:spPr>
            <a:ln w="12700" cap="rnd" cmpd="sng" algn="ctr">
              <a:solidFill>
                <a:srgbClr val="FF00FF"/>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2"/>
          <c:order val="2"/>
          <c:tx>
            <c:strRef>
              <c:f>现金流量表!#REF!</c:f>
              <c:strCache>
                <c:ptCount val="1"/>
                <c:pt idx="0">
                  <c:v/>
                </c:pt>
              </c:strCache>
            </c:strRef>
          </c:tx>
          <c:spPr>
            <a:ln w="12700" cap="rnd" cmpd="sng" algn="ctr">
              <a:solidFill>
                <a:srgbClr val="FFFF00"/>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3"/>
          <c:order val="3"/>
          <c:tx>
            <c:strRef>
              <c:f>现金流量表!#REF!</c:f>
              <c:strCache>
                <c:ptCount val="1"/>
                <c:pt idx="0">
                  <c:v/>
                </c:pt>
              </c:strCache>
            </c:strRef>
          </c:tx>
          <c:spPr>
            <a:ln w="12700" cap="rnd" cmpd="sng" algn="ctr">
              <a:solidFill>
                <a:srgbClr val="00FFFF"/>
              </a:solidFill>
              <a:prstDash val="solid"/>
              <a:round/>
            </a:ln>
            <a:effectLst/>
          </c:spPr>
          <c:marker>
            <c:symbol val="none"/>
          </c:marker>
          <c:dLbls>
            <c:delete val="1"/>
          </c:dLbls>
          <c:val>
            <c:numRef>
              <c:f>现金流量表!#REF!</c:f>
              <c:numCache>
                <c:formatCode>General</c:formatCode>
                <c:ptCount val="1"/>
                <c:pt idx="0">
                  <c:v>1</c:v>
                </c:pt>
              </c:numCache>
            </c:numRef>
          </c:val>
          <c:smooth val="0"/>
        </c:ser>
        <c:ser>
          <c:idx val="4"/>
          <c:order val="4"/>
          <c:tx>
            <c:strRef>
              <c:f>现金流量表!#REF!</c:f>
              <c:strCache>
                <c:ptCount val="1"/>
                <c:pt idx="0">
                  <c:v/>
                </c:pt>
              </c:strCache>
            </c:strRef>
          </c:tx>
          <c:spPr>
            <a:ln w="12700" cap="rnd" cmpd="sng" algn="ctr">
              <a:solidFill>
                <a:srgbClr val="800080"/>
              </a:solidFill>
              <a:prstDash val="solid"/>
              <a:round/>
            </a:ln>
            <a:effectLst/>
          </c:spPr>
          <c:marker>
            <c:symbol val="none"/>
          </c:marker>
          <c:dLbls>
            <c:delete val="1"/>
          </c:dLbls>
          <c:val>
            <c:numRef>
              <c:f>现金流量表!#REF!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0796416"/>
        <c:axId val="90797952"/>
      </c:lineChart>
      <c:catAx>
        <c:axId val="907964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797952"/>
        <c:crosses val="autoZero"/>
        <c:auto val="1"/>
        <c:lblAlgn val="ctr"/>
        <c:lblOffset val="100"/>
        <c:noMultiLvlLbl val="0"/>
      </c:catAx>
      <c:valAx>
        <c:axId val="907979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79641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0834816"/>
        <c:axId val="90836352"/>
      </c:barChart>
      <c:catAx>
        <c:axId val="908348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836352"/>
        <c:crosses val="autoZero"/>
        <c:auto val="1"/>
        <c:lblAlgn val="ctr"/>
        <c:lblOffset val="100"/>
        <c:noMultiLvlLbl val="0"/>
      </c:catAx>
      <c:valAx>
        <c:axId val="908363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83481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2925"/>
          <c:h val="0.46275"/>
        </c:manualLayout>
      </c:layout>
      <c:barChart>
        <c:barDir val="col"/>
        <c:grouping val="clustered"/>
        <c:varyColors val="0"/>
        <c:ser>
          <c:idx val="0"/>
          <c:order val="0"/>
          <c:tx>
            <c:strRef>
              <c:f>现金流量表!#REF!</c:f>
              <c:strCache>
                <c:ptCount val="1"/>
                <c:pt idx="0">
                  <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现金流量表!#REF!</c:f>
              <c:strCache>
                <c:ptCount val="1"/>
                <c:pt idx="0">
                  <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2"/>
          <c:order val="2"/>
          <c:tx>
            <c:strRef>
              <c:f>现金流量表!#REF!</c:f>
              <c:strCache>
                <c:ptCount val="1"/>
                <c:pt idx="0">
                  <c:v/>
                </c:pt>
              </c:strCache>
            </c:strRef>
          </c:tx>
          <c:spPr>
            <a:solidFill>
              <a:srgbClr val="FFFFCC"/>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3"/>
          <c:order val="3"/>
          <c:tx>
            <c:strRef>
              <c:f>现金流量表!#REF!</c:f>
              <c:strCache>
                <c:ptCount val="1"/>
                <c:pt idx="0">
                  <c:v/>
                </c:pt>
              </c:strCache>
            </c:strRef>
          </c:tx>
          <c:spPr>
            <a:solidFill>
              <a:srgbClr val="CCFF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0883200"/>
        <c:axId val="90884736"/>
      </c:barChart>
      <c:catAx>
        <c:axId val="908832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884736"/>
        <c:crosses val="autoZero"/>
        <c:auto val="1"/>
        <c:lblAlgn val="ctr"/>
        <c:lblOffset val="100"/>
        <c:noMultiLvlLbl val="0"/>
      </c:catAx>
      <c:valAx>
        <c:axId val="908847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88320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135"/>
          <c:h val="0.403"/>
        </c:manualLayout>
      </c:layout>
      <c:barChart>
        <c:barDir val="col"/>
        <c:grouping val="clustered"/>
        <c:varyColors val="0"/>
        <c:ser>
          <c:idx val="0"/>
          <c:order val="0"/>
          <c:tx>
            <c:strRef>
              <c:f>现金流量表!#REF!</c:f>
              <c:strCache>
                <c:ptCount val="1"/>
                <c:pt idx="0">
                  <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现金流量表!#REF!</c:f>
              <c:strCache>
                <c:ptCount val="1"/>
                <c:pt idx="0">
                  <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2"/>
          <c:order val="2"/>
          <c:tx>
            <c:strRef>
              <c:f>现金流量表!#REF!</c:f>
              <c:strCache>
                <c:ptCount val="1"/>
                <c:pt idx="0">
                  <c:v/>
                </c:pt>
              </c:strCache>
            </c:strRef>
          </c:tx>
          <c:spPr>
            <a:solidFill>
              <a:srgbClr val="FFFFCC"/>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3"/>
          <c:order val="3"/>
          <c:tx>
            <c:strRef>
              <c:f>现金流量表!#REF!</c:f>
              <c:strCache>
                <c:ptCount val="1"/>
                <c:pt idx="0">
                  <c:v/>
                </c:pt>
              </c:strCache>
            </c:strRef>
          </c:tx>
          <c:spPr>
            <a:solidFill>
              <a:srgbClr val="CCFF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0931584"/>
        <c:axId val="90933120"/>
      </c:barChart>
      <c:catAx>
        <c:axId val="909315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933120"/>
        <c:crosses val="autoZero"/>
        <c:auto val="1"/>
        <c:lblAlgn val="ctr"/>
        <c:lblOffset val="100"/>
        <c:noMultiLvlLbl val="0"/>
      </c:catAx>
      <c:valAx>
        <c:axId val="909331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93158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0969984"/>
        <c:axId val="90971520"/>
      </c:barChart>
      <c:catAx>
        <c:axId val="909699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971520"/>
        <c:crosses val="autoZero"/>
        <c:auto val="1"/>
        <c:lblAlgn val="ctr"/>
        <c:lblOffset val="100"/>
        <c:noMultiLvlLbl val="0"/>
      </c:catAx>
      <c:valAx>
        <c:axId val="909715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96998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0992000"/>
        <c:axId val="91038848"/>
      </c:barChart>
      <c:catAx>
        <c:axId val="909920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038848"/>
        <c:crosses val="autoZero"/>
        <c:auto val="1"/>
        <c:lblAlgn val="ctr"/>
        <c:lblOffset val="100"/>
        <c:noMultiLvlLbl val="0"/>
      </c:catAx>
      <c:valAx>
        <c:axId val="910388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09920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1067520"/>
        <c:axId val="91069056"/>
      </c:barChart>
      <c:catAx>
        <c:axId val="910675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069056"/>
        <c:crosses val="autoZero"/>
        <c:auto val="1"/>
        <c:lblAlgn val="ctr"/>
        <c:lblOffset val="100"/>
        <c:noMultiLvlLbl val="0"/>
      </c:catAx>
      <c:valAx>
        <c:axId val="910690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06752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现金流量表!#REF!</c:f>
              <c:numCache>
                <c:ptCount val="0"/>
              </c:numCache>
            </c:numRef>
          </c:cat>
          <c:val>
            <c:numRef>
              <c:f>现金流量表!#REF!</c:f>
              <c:numCache>
                <c:formatCode>General</c:formatCode>
                <c:ptCount val="1"/>
                <c:pt idx="0">
                  <c:v>1</c:v>
                </c:pt>
              </c:numCache>
            </c:numRef>
          </c:val>
        </c:ser>
        <c:dLbls>
          <c:showLegendKey val="0"/>
          <c:showVal val="0"/>
          <c:showCatName val="0"/>
          <c:showSerName val="0"/>
          <c:showPercent val="0"/>
          <c:showBubbleSize val="0"/>
        </c:dLbls>
        <c:gapWidth val="150"/>
        <c:axId val="91093632"/>
        <c:axId val="91181440"/>
      </c:barChart>
      <c:catAx>
        <c:axId val="910936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181440"/>
        <c:crosses val="autoZero"/>
        <c:auto val="1"/>
        <c:lblAlgn val="ctr"/>
        <c:lblOffset val="100"/>
        <c:noMultiLvlLbl val="0"/>
      </c:catAx>
      <c:valAx>
        <c:axId val="911814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09363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5"/>
          <c:y val="0.06125"/>
          <c:w val="0.84325"/>
          <c:h val="0.6135"/>
        </c:manualLayout>
      </c:layout>
      <c:barChart>
        <c:barDir val="col"/>
        <c:grouping val="clustered"/>
        <c:varyColors val="0"/>
        <c:ser>
          <c:idx val="0"/>
          <c:order val="0"/>
          <c:tx>
            <c:strRef>
              <c:f>[2]D产品成本分析表!$B$14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[2]D产品成本分析表!$C$14:$N$14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[2]D产品成本分析表!$B$15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[2]D产品成本分析表!$C$15:$N$15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[2]D产品成本分析表!$B$16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[2]D产品成本分析表!$C$16:$N$16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[2]D产品成本分析表!$B$17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[2]D产品成本分析表!$C$17:$N$17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1219840"/>
        <c:axId val="91221376"/>
      </c:barChart>
      <c:catAx>
        <c:axId val="912198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221376"/>
        <c:crosses val="autoZero"/>
        <c:auto val="1"/>
        <c:lblAlgn val="ctr"/>
        <c:lblOffset val="100"/>
        <c:noMultiLvlLbl val="0"/>
      </c:catAx>
      <c:valAx>
        <c:axId val="912213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21984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16425"/>
          <c:y val="0.822"/>
          <c:w val="0.52"/>
          <c:h val="0.169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025"/>
          <c:y val="0.0915"/>
          <c:w val="0.90575"/>
          <c:h val="0.6525"/>
        </c:manualLayout>
      </c:layout>
      <c:lineChart>
        <c:grouping val="standard"/>
        <c:varyColors val="0"/>
        <c:ser>
          <c:idx val="0"/>
          <c:order val="0"/>
          <c:tx>
            <c:strRef>
              <c:f>[2]D产品成本分析表!$B$11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[2]D产品成本分析表!$C$11:$N$11</c:f>
              <c:numCache>
                <c:formatCode>General</c:formatCode>
                <c:ptCount val="12"/>
              </c:numCache>
            </c:numRef>
          </c:val>
          <c:smooth val="0"/>
        </c:ser>
        <c:ser>
          <c:idx val="1"/>
          <c:order val="1"/>
          <c:tx>
            <c:strRef>
              <c:f>[2]D产品成本分析表!$B$12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[2]D产品成本分析表!$C$12:$N$12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91123072"/>
        <c:axId val="91128960"/>
      </c:lineChart>
      <c:catAx>
        <c:axId val="911230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128960"/>
        <c:crosses val="autoZero"/>
        <c:auto val="1"/>
        <c:lblAlgn val="ctr"/>
        <c:lblOffset val="100"/>
        <c:noMultiLvlLbl val="0"/>
      </c:catAx>
      <c:valAx>
        <c:axId val="911289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12307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5825"/>
          <c:y val="0.878"/>
          <c:w val="0.48175"/>
          <c:h val="0.1147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5556248796248"/>
          <c:y val="0.0971661839855295"/>
          <c:w val="0.658335119181638"/>
          <c:h val="0.554656966917397"/>
        </c:manualLayout>
      </c:layout>
      <c:scatterChart>
        <c:scatterStyle val="line"/>
        <c:varyColors val="0"/>
        <c:ser>
          <c:idx val="0"/>
          <c:order val="0"/>
          <c:tx>
            <c:strRef>
              <c:f>"外购总成本"</c:f>
              <c:strCache>
                <c:ptCount val="1"/>
                <c:pt idx="0">
                  <c:v>外购总成本</c:v>
                </c:pt>
              </c:strCache>
            </c:strRef>
          </c:tx>
          <c:spPr>
            <a:ln w="25400" cap="rnd" cmpd="sng" algn="ctr">
              <a:solidFill>
                <a:srgbClr val="000080"/>
              </a:solidFill>
              <a:prstDash val="solid"/>
              <a:round/>
            </a:ln>
            <a:effectLst/>
          </c:spPr>
          <c:marker>
            <c:symbol val="none"/>
          </c:marker>
          <c:dLbls>
            <c:delete val="1"/>
          </c:dLbls>
          <c:xVal>
            <c:numRef>
              <c:f>[1]采购决策!$I$6:$I$16</c:f>
              <c:numCache>
                <c:formatCode>General</c:formatCode>
                <c:ptCount val="11"/>
                <c:pt idx="0">
                  <c:v>2805</c:v>
                </c:pt>
                <c:pt idx="1">
                  <c:v>3366</c:v>
                </c:pt>
                <c:pt idx="2">
                  <c:v>3927</c:v>
                </c:pt>
                <c:pt idx="3">
                  <c:v>4488</c:v>
                </c:pt>
                <c:pt idx="4">
                  <c:v>5049</c:v>
                </c:pt>
                <c:pt idx="5">
                  <c:v>5610</c:v>
                </c:pt>
                <c:pt idx="6">
                  <c:v>6171</c:v>
                </c:pt>
                <c:pt idx="7">
                  <c:v>6732</c:v>
                </c:pt>
                <c:pt idx="8">
                  <c:v>7293</c:v>
                </c:pt>
                <c:pt idx="9">
                  <c:v>7854</c:v>
                </c:pt>
                <c:pt idx="10">
                  <c:v>8415</c:v>
                </c:pt>
              </c:numCache>
            </c:numRef>
          </c:xVal>
          <c:yVal>
            <c:numRef>
              <c:f>[1]采购决策!$J$6:$J$16</c:f>
              <c:numCache>
                <c:formatCode>General</c:formatCode>
                <c:ptCount val="11"/>
                <c:pt idx="0">
                  <c:v>40090.4876598706</c:v>
                </c:pt>
                <c:pt idx="1">
                  <c:v>48022.7991989315</c:v>
                </c:pt>
                <c:pt idx="2">
                  <c:v>55948.8140913687</c:v>
                </c:pt>
                <c:pt idx="3">
                  <c:v>63869.8439189011</c:v>
                </c:pt>
                <c:pt idx="4">
                  <c:v>71786.7997093023</c:v>
                </c:pt>
                <c:pt idx="5">
                  <c:v>79700.3447763488</c:v>
                </c:pt>
                <c:pt idx="6">
                  <c:v>87610.9798683627</c:v>
                </c:pt>
                <c:pt idx="7">
                  <c:v>95519.0940169791</c:v>
                </c:pt>
                <c:pt idx="8">
                  <c:v>103424.996598635</c:v>
                </c:pt>
                <c:pt idx="9">
                  <c:v>111328.938454556</c:v>
                </c:pt>
                <c:pt idx="10">
                  <c:v>119231.126313879</c:v>
                </c:pt>
              </c:numCache>
            </c:numRef>
          </c:yVal>
          <c:smooth val="0"/>
        </c:ser>
        <c:ser>
          <c:idx val="1"/>
          <c:order val="1"/>
          <c:tx>
            <c:strRef>
              <c:f>"自制总成本"</c:f>
              <c:strCache>
                <c:ptCount val="1"/>
                <c:pt idx="0">
                  <c:v>自制总成本</c:v>
                </c:pt>
              </c:strCache>
            </c:strRef>
          </c:tx>
          <c:spPr>
            <a:ln w="25400" cap="rnd" cmpd="sng" algn="ctr">
              <a:solidFill>
                <a:srgbClr val="008000"/>
              </a:solidFill>
              <a:prstDash val="solid"/>
              <a:round/>
            </a:ln>
            <a:effectLst/>
          </c:spPr>
          <c:marker>
            <c:symbol val="none"/>
          </c:marker>
          <c:dLbls>
            <c:delete val="1"/>
          </c:dLbls>
          <c:xVal>
            <c:numRef>
              <c:f>[1]采购决策!$I$6:$I$16</c:f>
              <c:numCache>
                <c:formatCode>General</c:formatCode>
                <c:ptCount val="11"/>
                <c:pt idx="0">
                  <c:v>2805</c:v>
                </c:pt>
                <c:pt idx="1">
                  <c:v>3366</c:v>
                </c:pt>
                <c:pt idx="2">
                  <c:v>3927</c:v>
                </c:pt>
                <c:pt idx="3">
                  <c:v>4488</c:v>
                </c:pt>
                <c:pt idx="4">
                  <c:v>5049</c:v>
                </c:pt>
                <c:pt idx="5">
                  <c:v>5610</c:v>
                </c:pt>
                <c:pt idx="6">
                  <c:v>6171</c:v>
                </c:pt>
                <c:pt idx="7">
                  <c:v>6732</c:v>
                </c:pt>
                <c:pt idx="8">
                  <c:v>7293</c:v>
                </c:pt>
                <c:pt idx="9">
                  <c:v>7854</c:v>
                </c:pt>
                <c:pt idx="10">
                  <c:v>8415</c:v>
                </c:pt>
              </c:numCache>
            </c:numRef>
          </c:xVal>
          <c:yVal>
            <c:numRef>
              <c:f>[1]采购决策!$K$6:$K$16</c:f>
              <c:numCache>
                <c:formatCode>General</c:formatCode>
                <c:ptCount val="11"/>
                <c:pt idx="0">
                  <c:v>30278.3450654718</c:v>
                </c:pt>
                <c:pt idx="1">
                  <c:v>34659.8267965293</c:v>
                </c:pt>
                <c:pt idx="2">
                  <c:v>38889.670644948</c:v>
                </c:pt>
                <c:pt idx="3">
                  <c:v>42992.3577649404</c:v>
                </c:pt>
                <c:pt idx="4">
                  <c:v>46984.733794534</c:v>
                </c:pt>
                <c:pt idx="5">
                  <c:v>50878.8414244397</c:v>
                </c:pt>
                <c:pt idx="6">
                  <c:v>54683.5000099108</c:v>
                </c:pt>
                <c:pt idx="7">
                  <c:v>58405.2455265563</c:v>
                </c:pt>
                <c:pt idx="8">
                  <c:v>62048.9164177195</c:v>
                </c:pt>
                <c:pt idx="9">
                  <c:v>65618.0296744652</c:v>
                </c:pt>
                <c:pt idx="10">
                  <c:v>69115.0246979702</c:v>
                </c:pt>
              </c:numCache>
            </c:numRef>
          </c:yVal>
          <c:smooth val="0"/>
        </c:ser>
        <c:ser>
          <c:idx val="3"/>
          <c:order val="2"/>
          <c:spPr>
            <a:ln w="28575" cap="rnd" cmpd="sng" algn="ctr">
              <a:noFill/>
              <a:prstDash val="solid"/>
              <a:round/>
            </a:ln>
            <a:effectLst/>
          </c:spPr>
          <c:marker>
            <c:symbol val="square"/>
            <c:size val="5"/>
            <c:spPr>
              <a:solidFill>
                <a:srgbClr val="FFFFFF">
                  <a:alpha val="0"/>
                </a:srgbClr>
              </a:solidFill>
              <a:ln w="9525" cap="flat" cmpd="sng" algn="ctr">
                <a:solidFill>
                  <a:srgbClr val="0000FF"/>
                </a:solidFill>
                <a:prstDash val="solid"/>
                <a:round/>
              </a:ln>
              <a:effectLst/>
            </c:spPr>
          </c:marker>
          <c:dLbls>
            <c:delete val="1"/>
          </c:dLbls>
          <c:xVal>
            <c:numRef>
              <c:f>[1]采购决策!$D$20</c:f>
              <c:numCache>
                <c:formatCode>General</c:formatCode>
                <c:ptCount val="1"/>
                <c:pt idx="0">
                  <c:v>5610</c:v>
                </c:pt>
              </c:numCache>
            </c:numRef>
          </c:xVal>
          <c:yVal>
            <c:numRef>
              <c:f>[1]采购决策!$D$32</c:f>
              <c:numCache>
                <c:formatCode>General</c:formatCode>
                <c:ptCount val="1"/>
                <c:pt idx="0">
                  <c:v>79700.3447763488</c:v>
                </c:pt>
              </c:numCache>
            </c:numRef>
          </c:yVal>
          <c:smooth val="0"/>
        </c:ser>
        <c:ser>
          <c:idx val="4"/>
          <c:order val="3"/>
          <c:spPr>
            <a:ln w="28575" cap="rnd" cmpd="sng" algn="ctr">
              <a:noFill/>
              <a:prstDash val="solid"/>
              <a:round/>
            </a:ln>
            <a:effectLst/>
          </c:spPr>
          <c:marker>
            <c:symbol val="square"/>
            <c:size val="5"/>
            <c:spPr>
              <a:solidFill>
                <a:srgbClr val="FFFFFF">
                  <a:alpha val="0"/>
                </a:srgbClr>
              </a:solidFill>
              <a:ln w="9525" cap="flat" cmpd="sng" algn="ctr">
                <a:solidFill>
                  <a:srgbClr val="008000"/>
                </a:solidFill>
                <a:prstDash val="solid"/>
                <a:round/>
              </a:ln>
              <a:effectLst/>
            </c:spPr>
          </c:marker>
          <c:dLbls>
            <c:delete val="1"/>
          </c:dLbls>
          <c:xVal>
            <c:numRef>
              <c:f>[1]采购决策!$D$20</c:f>
              <c:numCache>
                <c:formatCode>General</c:formatCode>
                <c:ptCount val="1"/>
                <c:pt idx="0">
                  <c:v>5610</c:v>
                </c:pt>
              </c:numCache>
            </c:numRef>
          </c:xVal>
          <c:yVal>
            <c:numRef>
              <c:f>[1]采购决策!$E$32</c:f>
              <c:numCache>
                <c:formatCode>General</c:formatCode>
                <c:ptCount val="1"/>
                <c:pt idx="0">
                  <c:v>50878.8414244397</c:v>
                </c:pt>
              </c:numCache>
            </c:numRef>
          </c:yVal>
          <c:smooth val="0"/>
        </c:ser>
        <c:ser>
          <c:idx val="5"/>
          <c:order val="4"/>
          <c:spPr>
            <a:ln w="3175" cap="rnd" cmpd="sng" algn="ctr">
              <a:solidFill>
                <a:srgbClr val="0000FF"/>
              </a:solidFill>
              <a:prstDash val="sysDash"/>
              <a:round/>
            </a:ln>
            <a:effectLst/>
          </c:spPr>
          <c:marker>
            <c:symbol val="none"/>
          </c:marker>
          <c:dLbls>
            <c:dLbl>
              <c:idx val="0"/>
              <c:layout>
                <c:manualLayout>
                  <c:x val="-0.0314814016421147"/>
                  <c:y val="-0.000300341788186023"/>
                </c:manualLayout>
              </c:layout>
              <c:numFmt formatCode="General" sourceLinked="1"/>
              <c:spPr>
                <a:noFill/>
                <a:ln>
                  <a:noFill/>
                </a:ln>
                <a:effectLst/>
              </c:spPr>
              <c:txPr>
                <a:bodyPr rot="0" spcFirstLastPara="0" vertOverflow="ellipsis" vert="horz" wrap="square" lIns="38100" tIns="19050" rIns="38100" bIns="19050" anchor="ctr" anchorCtr="1"/>
                <a:lstStyle/>
                <a:p>
                  <a:pPr>
                    <a:defRPr lang="zh-CN" sz="8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dLbl>
            <c:spPr>
              <a:noFill/>
              <a:ln w="25400">
                <a:noFill/>
              </a:ln>
              <a:effectLst/>
            </c:spPr>
            <c:txPr>
              <a:bodyPr rot="0" spcFirstLastPara="0" vertOverflow="ellipsis" horzOverflow="overflow" vert="horz" wrap="square" lIns="38100" tIns="19050" rIns="38100" bIns="19050" anchor="ctr" anchorCtr="1"/>
              <a:lstStyle/>
              <a:p>
                <a:pPr>
                  <a:defRPr lang="zh-CN" sz="800" b="1"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spPr>
                    <a:ln w="9525" cap="flat" cmpd="sng" algn="ctr">
                      <a:solidFill>
                        <a:schemeClr val="tx1"/>
                      </a:solidFill>
                      <a:prstDash val="solid"/>
                      <a:round/>
                    </a:ln>
                    <a:effectLst/>
                  </c:spPr>
                </c15:leaderLines>
              </c:ext>
            </c:extLst>
          </c:dLbls>
          <c:xVal>
            <c:numRef>
              <c:f>[1]采购决策!$N$6:$N$7</c:f>
              <c:numCache>
                <c:formatCode>General</c:formatCode>
                <c:ptCount val="2"/>
                <c:pt idx="0">
                  <c:v>0</c:v>
                </c:pt>
                <c:pt idx="1">
                  <c:v>5610</c:v>
                </c:pt>
              </c:numCache>
            </c:numRef>
          </c:xVal>
          <c:yVal>
            <c:numRef>
              <c:f>[1]采购决策!$O$6:$O$7</c:f>
              <c:numCache>
                <c:formatCode>General</c:formatCode>
                <c:ptCount val="2"/>
                <c:pt idx="0">
                  <c:v>79700.3447763488</c:v>
                </c:pt>
                <c:pt idx="1">
                  <c:v>79700.3447763488</c:v>
                </c:pt>
              </c:numCache>
            </c:numRef>
          </c:yVal>
          <c:smooth val="0"/>
        </c:ser>
        <c:ser>
          <c:idx val="6"/>
          <c:order val="5"/>
          <c:spPr>
            <a:ln w="3175" cap="rnd" cmpd="sng" algn="ctr">
              <a:solidFill>
                <a:srgbClr val="008000"/>
              </a:solidFill>
              <a:prstDash val="sysDash"/>
              <a:round/>
            </a:ln>
            <a:effectLst/>
          </c:spPr>
          <c:marker>
            <c:symbol val="none"/>
          </c:marker>
          <c:dLbls>
            <c:dLbl>
              <c:idx val="0"/>
              <c:layout>
                <c:manualLayout>
                  <c:x val="-0.0342591869551174"/>
                  <c:y val="-0.00112598611807376"/>
                </c:manualLayout>
              </c:layout>
              <c:numFmt formatCode="General" sourceLinked="1"/>
              <c:spPr>
                <a:noFill/>
                <a:ln>
                  <a:noFill/>
                </a:ln>
                <a:effectLst/>
              </c:spPr>
              <c:txPr>
                <a:bodyPr rot="0" spcFirstLastPara="0" vertOverflow="ellipsis" vert="horz" wrap="square" lIns="38100" tIns="19050" rIns="38100" bIns="19050" anchor="ctr" anchorCtr="1"/>
                <a:lstStyle/>
                <a:p>
                  <a:pPr>
                    <a:defRPr lang="zh-CN" sz="8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dLbl>
            <c:spPr>
              <a:noFill/>
              <a:ln w="25400">
                <a:noFill/>
              </a:ln>
              <a:effectLst/>
            </c:spPr>
            <c:txPr>
              <a:bodyPr rot="0" spcFirstLastPara="0" vertOverflow="ellipsis" horzOverflow="overflow" vert="horz" wrap="square" lIns="38100" tIns="19050" rIns="38100" bIns="19050" anchor="ctr" anchorCtr="1"/>
              <a:lstStyle/>
              <a:p>
                <a:pPr>
                  <a:defRPr lang="zh-CN" sz="800" b="1"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15:leaderLines>
                  <c:spPr>
                    <a:ln w="9525" cap="flat" cmpd="sng" algn="ctr">
                      <a:solidFill>
                        <a:schemeClr val="tx1"/>
                      </a:solidFill>
                      <a:prstDash val="solid"/>
                      <a:round/>
                    </a:ln>
                    <a:effectLst/>
                  </c:spPr>
                </c15:leaderLines>
              </c:ext>
            </c:extLst>
          </c:dLbls>
          <c:xVal>
            <c:numRef>
              <c:f>[1]采购决策!$N$9:$N$10</c:f>
              <c:numCache>
                <c:formatCode>General</c:formatCode>
                <c:ptCount val="2"/>
                <c:pt idx="0">
                  <c:v>0</c:v>
                </c:pt>
                <c:pt idx="1">
                  <c:v>5610</c:v>
                </c:pt>
              </c:numCache>
            </c:numRef>
          </c:xVal>
          <c:yVal>
            <c:numRef>
              <c:f>[1]采购决策!$O$9:$O$10</c:f>
              <c:numCache>
                <c:formatCode>General</c:formatCode>
                <c:ptCount val="2"/>
                <c:pt idx="0">
                  <c:v>50878.8414244397</c:v>
                </c:pt>
                <c:pt idx="1">
                  <c:v>50878.8414244397</c:v>
                </c:pt>
              </c:numCache>
            </c:numRef>
          </c:yVal>
          <c:smooth val="0"/>
        </c:ser>
        <c:ser>
          <c:idx val="2"/>
          <c:order val="6"/>
          <c:spPr>
            <a:ln w="12700" cap="rnd" cmpd="sng" algn="ctr">
              <a:solidFill>
                <a:srgbClr val="FF0000"/>
              </a:solidFill>
              <a:prstDash val="solid"/>
              <a:round/>
            </a:ln>
            <a:effectLst/>
          </c:spPr>
          <c:marker>
            <c:symbol val="none"/>
          </c:marker>
          <c:dLbls>
            <c:delete val="1"/>
          </c:dLbls>
          <c:xVal>
            <c:numRef>
              <c:f>([1]采购决策!$D$20,[1]采购决策!$D$20)</c:f>
              <c:numCache>
                <c:formatCode>General</c:formatCode>
                <c:ptCount val="2"/>
                <c:pt idx="0">
                  <c:v>5610</c:v>
                </c:pt>
                <c:pt idx="1">
                  <c:v>5610</c:v>
                </c:pt>
              </c:numCache>
            </c:numRef>
          </c:xVal>
          <c:yVal>
            <c:numRef>
              <c:f>([1]采购决策!$N$17,[1]采购决策!$N$18)</c:f>
              <c:numCache>
                <c:formatCode>General</c:formatCode>
                <c:ptCount val="2"/>
                <c:pt idx="0">
                  <c:v>30278.3450654718</c:v>
                </c:pt>
                <c:pt idx="1">
                  <c:v>119231.126313879</c:v>
                </c:pt>
              </c:numCache>
            </c:numRef>
          </c:yVal>
          <c:smooth val="0"/>
        </c:ser>
        <c:dLbls>
          <c:showLegendKey val="0"/>
          <c:showVal val="0"/>
          <c:showCatName val="0"/>
          <c:showSerName val="0"/>
          <c:showPercent val="0"/>
          <c:showBubbleSize val="0"/>
        </c:dLbls>
        <c:axId val="84056704"/>
        <c:axId val="84075648"/>
      </c:scatterChart>
      <c:valAx>
        <c:axId val="84056704"/>
        <c:scaling>
          <c:orientation val="minMax"/>
        </c:scaling>
        <c:delete val="0"/>
        <c:axPos val="b"/>
        <c:title>
          <c:tx>
            <c:rich>
              <a:bodyPr rot="0" spcFirstLastPara="0" vertOverflow="ellipsis" vert="horz" wrap="square" anchor="ctr" anchorCtr="1"/>
              <a:lstStyle/>
              <a:p>
                <a:pPr algn="ct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a:t>年需要量</a:t>
                </a:r>
                <a:endParaRPr lang="zh-CN" altLang="en-US" sz="1000" b="0" i="0" u="none" strike="noStrike" baseline="0">
                  <a:solidFill>
                    <a:srgbClr val="000000">
                      <a:alpha val="100000"/>
                    </a:srgbClr>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50555692696649"/>
              <c:y val="0.761135107886647"/>
            </c:manualLayout>
          </c:layout>
          <c:overlay val="0"/>
          <c:spPr>
            <a:noFill/>
            <a:ln w="25400">
              <a:noFill/>
            </a:ln>
            <a:effectLst/>
          </c:sp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crossAx val="84075648"/>
        <c:crosses val="autoZero"/>
        <c:crossBetween val="midCat"/>
      </c:valAx>
      <c:valAx>
        <c:axId val="84075648"/>
        <c:scaling>
          <c:orientation val="minMax"/>
        </c:scaling>
        <c:delete val="0"/>
        <c:axPos val="l"/>
        <c:majorGridlines>
          <c:spPr>
            <a:ln w="3175" cap="flat" cmpd="sng" algn="ctr">
              <a:solidFill>
                <a:srgbClr val="000000"/>
              </a:solidFill>
              <a:prstDash val="solid"/>
              <a:round/>
            </a:ln>
            <a:effectLst/>
          </c:spPr>
        </c:majorGridlines>
        <c:title>
          <c:tx>
            <c:rich>
              <a:bodyPr rot="-5400000" spcFirstLastPara="0" vertOverflow="ellipsis" vert="horz" wrap="square" anchor="ctr" anchorCtr="1"/>
              <a:lstStyle/>
              <a:p>
                <a:pPr algn="ctr">
                  <a:defRPr lang="zh-CN" sz="11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a:t>总 成 本</a:t>
                </a:r>
                <a:endParaRPr lang="zh-CN" altLang="en-US" sz="1100" b="0" i="0" u="none" strike="noStrike" baseline="0">
                  <a:solidFill>
                    <a:srgbClr val="000000">
                      <a:alpha val="100000"/>
                    </a:srgbClr>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0444445650080431"/>
              <c:y val="0.242915459963824"/>
            </c:manualLayout>
          </c:layout>
          <c:overlay val="0"/>
          <c:spPr>
            <a:noFill/>
            <a:ln w="25400">
              <a:noFill/>
            </a:ln>
            <a:effectLst/>
          </c:sp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crossAx val="84056704"/>
        <c:crosses val="autoZero"/>
        <c:crossBetween val="midCat"/>
      </c:valAx>
      <c:spPr>
        <a:solidFill>
          <a:srgbClr val="C0C0C0"/>
        </a:solidFill>
        <a:ln w="12700">
          <a:solidFill>
            <a:srgbClr val="808080"/>
          </a:solidFill>
          <a:prstDash val="solid"/>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8334169743299"/>
          <c:y val="0.890690019867353"/>
          <c:w val="0.552779277287537"/>
          <c:h val="0.0809718199879412"/>
        </c:manualLayout>
      </c:layout>
      <c:overlay val="0"/>
      <c:spPr>
        <a:solidFill>
          <a:srgbClr val="FFFFFF"/>
        </a:solidFill>
        <a:ln w="3175">
          <a:solidFill>
            <a:srgbClr val="000000"/>
          </a:solidFill>
          <a:prstDash val="solid"/>
        </a:ln>
        <a:effectLst/>
      </c:spPr>
      <c:txPr>
        <a:bodyPr rot="0" spcFirstLastPara="0" vertOverflow="ellipsis" horzOverflow="overflow" vert="horz" wrap="square" anchor="ctr" anchorCtr="1"/>
        <a:lstStyle/>
        <a:p>
          <a:pPr>
            <a:defRPr lang="zh-CN" sz="8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legend>
    <c:plotVisOnly val="1"/>
    <c:dispBlanksAs val="gap"/>
    <c:showDLblsOverMax val="0"/>
  </c:chart>
  <c:spPr>
    <a:solidFill>
      <a:srgbClr val="FFFFFF"/>
    </a:solid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87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025"/>
          <c:y val="0.06825"/>
          <c:w val="0.901"/>
          <c:h val="0.59"/>
        </c:manualLayout>
      </c:layout>
      <c:lineChart>
        <c:grouping val="standard"/>
        <c:varyColors val="0"/>
        <c:ser>
          <c:idx val="0"/>
          <c:order val="0"/>
          <c:tx>
            <c:strRef>
              <c:f>[2]D产品成本分析表!$B$5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[2]D产品成本分析表!$C$5:$N$5</c:f>
              <c:numCache>
                <c:formatCode>General</c:formatCode>
                <c:ptCount val="12"/>
              </c:numCache>
            </c:numRef>
          </c:val>
          <c:smooth val="0"/>
        </c:ser>
        <c:ser>
          <c:idx val="1"/>
          <c:order val="1"/>
          <c:tx>
            <c:strRef>
              <c:f>[2]D产品成本分析表!$B$6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[2]D产品成本分析表!$C$6:$N$6</c:f>
              <c:numCache>
                <c:formatCode>General</c:formatCode>
                <c:ptCount val="12"/>
              </c:numCache>
            </c:numRef>
          </c:val>
          <c:smooth val="0"/>
        </c:ser>
        <c:ser>
          <c:idx val="2"/>
          <c:order val="2"/>
          <c:tx>
            <c:strRef>
              <c:f>[2]D产品成本分析表!$B$7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[2]D产品成本分析表!$C$7:$N$7</c:f>
              <c:numCache>
                <c:formatCode>General</c:formatCode>
                <c:ptCount val="12"/>
              </c:numCache>
            </c:numRef>
          </c:val>
          <c:smooth val="0"/>
        </c:ser>
        <c:ser>
          <c:idx val="3"/>
          <c:order val="3"/>
          <c:tx>
            <c:strRef>
              <c:f>[2]D产品成本分析表!$B$8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[2]D产品成本分析表!$C$8:$N$8</c:f>
              <c:numCache>
                <c:formatCode>General</c:formatCode>
                <c:ptCount val="12"/>
              </c:numCache>
            </c:numRef>
          </c:val>
          <c:smooth val="0"/>
        </c:ser>
        <c:ser>
          <c:idx val="4"/>
          <c:order val="4"/>
          <c:tx>
            <c:strRef>
              <c:f>[2]D产品成本分析表!$B$11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[2]D产品成本分析表!$C$11:$N$11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91307392"/>
        <c:axId val="91321472"/>
      </c:lineChart>
      <c:catAx>
        <c:axId val="913073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321472"/>
        <c:crosses val="autoZero"/>
        <c:auto val="1"/>
        <c:lblAlgn val="ctr"/>
        <c:lblOffset val="100"/>
        <c:noMultiLvlLbl val="0"/>
      </c:catAx>
      <c:valAx>
        <c:axId val="913214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30739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55"/>
          <c:h val="0.209"/>
        </c:manualLayout>
      </c:layout>
      <c:lineChart>
        <c:grouping val="standard"/>
        <c:varyColors val="0"/>
        <c:ser>
          <c:idx val="0"/>
          <c:order val="0"/>
          <c:tx>
            <c:strRef>
              <c:f>所有者权益变动表!#REF!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1"/>
          <c:order val="1"/>
          <c:tx>
            <c:strRef>
              <c:f>所有者权益变动表!#REF!</c:f>
              <c:strCache>
                <c:ptCount val="1"/>
                <c:pt idx="0">
                  <c:v/>
                </c:pt>
              </c:strCache>
            </c:strRef>
          </c:tx>
          <c:spPr>
            <a:ln w="12700" cap="rnd" cmpd="sng" algn="ctr">
              <a:solidFill>
                <a:srgbClr val="FF00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256320"/>
        <c:axId val="91257856"/>
      </c:lineChart>
      <c:catAx>
        <c:axId val="912563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257856"/>
        <c:crosses val="autoZero"/>
        <c:auto val="1"/>
        <c:lblAlgn val="ctr"/>
        <c:lblOffset val="100"/>
        <c:noMultiLvlLbl val="0"/>
      </c:catAx>
      <c:valAx>
        <c:axId val="912578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25632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433600"/>
        <c:axId val="91435392"/>
      </c:lineChart>
      <c:catAx>
        <c:axId val="914336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435392"/>
        <c:crosses val="autoZero"/>
        <c:auto val="1"/>
        <c:lblAlgn val="ctr"/>
        <c:lblOffset val="100"/>
        <c:noMultiLvlLbl val="0"/>
      </c:catAx>
      <c:valAx>
        <c:axId val="9143539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43360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
          <c:h val="0.3582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1"/>
          <c:order val="1"/>
          <c:tx>
            <c:strRef>
              <c:f>所有者权益变动表!#REF!</c:f>
              <c:strCache>
                <c:ptCount val="1"/>
                <c:pt idx="0">
                  <c:v/>
                </c:pt>
              </c:strCache>
            </c:strRef>
          </c:tx>
          <c:spPr>
            <a:ln w="12700" cap="rnd" cmpd="sng" algn="ctr">
              <a:solidFill>
                <a:srgbClr val="FF00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468544"/>
        <c:axId val="91470080"/>
      </c:lineChart>
      <c:catAx>
        <c:axId val="91468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470080"/>
        <c:crosses val="autoZero"/>
        <c:auto val="1"/>
        <c:lblAlgn val="ctr"/>
        <c:lblOffset val="100"/>
        <c:noMultiLvlLbl val="0"/>
      </c:catAx>
      <c:valAx>
        <c:axId val="914700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46854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383680"/>
        <c:axId val="91385216"/>
      </c:lineChart>
      <c:catAx>
        <c:axId val="913836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385216"/>
        <c:crosses val="autoZero"/>
        <c:auto val="1"/>
        <c:lblAlgn val="ctr"/>
        <c:lblOffset val="100"/>
        <c:noMultiLvlLbl val="0"/>
      </c:catAx>
      <c:valAx>
        <c:axId val="9138521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38368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
          <c:h val="0.388"/>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1"/>
          <c:order val="1"/>
          <c:tx>
            <c:strRef>
              <c:f>所有者权益变动表!#REF!</c:f>
              <c:strCache>
                <c:ptCount val="1"/>
                <c:pt idx="0">
                  <c:v/>
                </c:pt>
              </c:strCache>
            </c:strRef>
          </c:tx>
          <c:spPr>
            <a:ln w="12700" cap="rnd" cmpd="sng" algn="ctr">
              <a:solidFill>
                <a:srgbClr val="FF00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561984"/>
        <c:axId val="91563520"/>
      </c:lineChart>
      <c:catAx>
        <c:axId val="915619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563520"/>
        <c:crosses val="autoZero"/>
        <c:auto val="1"/>
        <c:lblAlgn val="ctr"/>
        <c:lblOffset val="100"/>
        <c:noMultiLvlLbl val="0"/>
      </c:catAx>
      <c:valAx>
        <c:axId val="915635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56198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595904"/>
        <c:axId val="91597440"/>
      </c:lineChart>
      <c:catAx>
        <c:axId val="915959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597440"/>
        <c:crosses val="autoZero"/>
        <c:auto val="1"/>
        <c:lblAlgn val="ctr"/>
        <c:lblOffset val="100"/>
        <c:noMultiLvlLbl val="0"/>
      </c:catAx>
      <c:valAx>
        <c:axId val="915974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59590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5"/>
          <c:y val="0.35825"/>
          <c:w val="0.776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629824"/>
        <c:axId val="91635712"/>
      </c:lineChart>
      <c:catAx>
        <c:axId val="91629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635712"/>
        <c:crosses val="autoZero"/>
        <c:auto val="1"/>
        <c:lblAlgn val="ctr"/>
        <c:lblOffset val="100"/>
        <c:noMultiLvlLbl val="0"/>
      </c:catAx>
      <c:valAx>
        <c:axId val="9163571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62982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25"/>
          <c:y val="0.1195"/>
          <c:w val="0.91625"/>
          <c:h val="0.104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1"/>
          <c:order val="1"/>
          <c:tx>
            <c:strRef>
              <c:f>所有者权益变动表!#REF!</c:f>
              <c:strCache>
                <c:ptCount val="1"/>
                <c:pt idx="0">
                  <c:v/>
                </c:pt>
              </c:strCache>
            </c:strRef>
          </c:tx>
          <c:spPr>
            <a:ln w="12700" cap="rnd" cmpd="sng" algn="ctr">
              <a:solidFill>
                <a:srgbClr val="FF00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2"/>
          <c:order val="2"/>
          <c:tx>
            <c:strRef>
              <c:f>所有者权益变动表!#REF!</c:f>
              <c:strCache>
                <c:ptCount val="1"/>
                <c:pt idx="0">
                  <c:v/>
                </c:pt>
              </c:strCache>
            </c:strRef>
          </c:tx>
          <c:spPr>
            <a:ln w="12700" cap="rnd" cmpd="sng" algn="ctr">
              <a:solidFill>
                <a:srgbClr val="FFFF0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3"/>
          <c:order val="3"/>
          <c:tx>
            <c:strRef>
              <c:f>所有者权益变动表!#REF!</c:f>
              <c:strCache>
                <c:ptCount val="1"/>
                <c:pt idx="0">
                  <c:v/>
                </c:pt>
              </c:strCache>
            </c:strRef>
          </c:tx>
          <c:spPr>
            <a:ln w="12700" cap="rnd" cmpd="sng" algn="ctr">
              <a:solidFill>
                <a:srgbClr val="00FF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4"/>
          <c:order val="4"/>
          <c:tx>
            <c:strRef>
              <c:f>所有者权益变动表!#REF!</c:f>
              <c:strCache>
                <c:ptCount val="1"/>
                <c:pt idx="0">
                  <c:v/>
                </c:pt>
              </c:strCache>
            </c:strRef>
          </c:tx>
          <c:spPr>
            <a:ln w="12700" cap="rnd" cmpd="sng" algn="ctr">
              <a:solidFill>
                <a:srgbClr val="8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853568"/>
        <c:axId val="91855104"/>
      </c:lineChart>
      <c:catAx>
        <c:axId val="918535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855104"/>
        <c:crosses val="autoZero"/>
        <c:auto val="1"/>
        <c:lblAlgn val="ctr"/>
        <c:lblOffset val="100"/>
        <c:noMultiLvlLbl val="0"/>
      </c:catAx>
      <c:valAx>
        <c:axId val="918551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85356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936428095267"/>
          <c:y val="0.100000406902697"/>
          <c:w val="0.80141982736977"/>
          <c:h val="0.641669277625642"/>
        </c:manualLayout>
      </c:layout>
      <c:scatterChart>
        <c:scatterStyle val="line"/>
        <c:varyColors val="0"/>
        <c:ser>
          <c:idx val="0"/>
          <c:order val="0"/>
          <c:spPr>
            <a:ln w="25400" cap="rnd" cmpd="sng" algn="ctr">
              <a:solidFill>
                <a:srgbClr val="000080"/>
              </a:solidFill>
              <a:prstDash val="solid"/>
              <a:round/>
            </a:ln>
            <a:effectLst/>
          </c:spPr>
          <c:marker>
            <c:symbol val="none"/>
          </c:marker>
          <c:dLbls>
            <c:delete val="1"/>
          </c:dLbls>
          <c:xVal>
            <c:numRef>
              <c:f>[1]企业价值!$L$6:$L$16</c:f>
              <c:numCache>
                <c:formatCode>General</c:formatCode>
                <c:ptCount val="11"/>
                <c:pt idx="0">
                  <c:v>0</c:v>
                </c:pt>
                <c:pt idx="1">
                  <c:v>0.1</c:v>
                </c:pt>
                <c:pt idx="2">
                  <c:v>0.2</c:v>
                </c:pt>
                <c:pt idx="3">
                  <c:v>0.3</c:v>
                </c:pt>
                <c:pt idx="4">
                  <c:v>0.4</c:v>
                </c:pt>
                <c:pt idx="5">
                  <c:v>0.5</c:v>
                </c:pt>
                <c:pt idx="6">
                  <c:v>0.6</c:v>
                </c:pt>
                <c:pt idx="7">
                  <c:v>0.7</c:v>
                </c:pt>
                <c:pt idx="8">
                  <c:v>0.8</c:v>
                </c:pt>
                <c:pt idx="9">
                  <c:v>0.9</c:v>
                </c:pt>
                <c:pt idx="10">
                  <c:v>1</c:v>
                </c:pt>
              </c:numCache>
            </c:numRef>
          </c:xVal>
          <c:yVal>
            <c:numRef>
              <c:f>[1]企业价值!$M$6:$M$16</c:f>
              <c:numCache>
                <c:formatCode>General</c:formatCode>
                <c:ptCount val="11"/>
                <c:pt idx="0">
                  <c:v>14936.6136447518</c:v>
                </c:pt>
                <c:pt idx="1">
                  <c:v>19975.0699440302</c:v>
                </c:pt>
                <c:pt idx="2">
                  <c:v>27124.1646895639</c:v>
                </c:pt>
                <c:pt idx="3">
                  <c:v>36999.3610973339</c:v>
                </c:pt>
                <c:pt idx="4">
                  <c:v>50326.3811383928</c:v>
                </c:pt>
                <c:pt idx="5">
                  <c:v>67950.3297627046</c:v>
                </c:pt>
                <c:pt idx="6">
                  <c:v>90844.8191229844</c:v>
                </c:pt>
                <c:pt idx="7">
                  <c:v>120121.092798539</c:v>
                </c:pt>
                <c:pt idx="8">
                  <c:v>157037.150019105</c:v>
                </c:pt>
                <c:pt idx="9">
                  <c:v>203006.869888691</c:v>
                </c:pt>
                <c:pt idx="10">
                  <c:v>259609.135609419</c:v>
                </c:pt>
              </c:numCache>
            </c:numRef>
          </c:yVal>
          <c:smooth val="0"/>
        </c:ser>
        <c:ser>
          <c:idx val="1"/>
          <c:order val="1"/>
          <c:spPr>
            <a:ln w="28575" cap="rnd" cmpd="sng" algn="ctr">
              <a:noFill/>
              <a:prstDash val="solid"/>
              <a:round/>
            </a:ln>
            <a:effectLst/>
          </c:spPr>
          <c:marker>
            <c:symbol val="square"/>
            <c:size val="5"/>
            <c:spPr>
              <a:solidFill>
                <a:srgbClr val="FFFFFF">
                  <a:alpha val="0"/>
                </a:srgbClr>
              </a:solidFill>
              <a:ln w="9525" cap="flat" cmpd="sng" algn="ctr">
                <a:solidFill>
                  <a:srgbClr val="0000FF"/>
                </a:solidFill>
                <a:prstDash val="solid"/>
                <a:round/>
              </a:ln>
              <a:effectLst/>
            </c:spPr>
          </c:marker>
          <c:dLbls>
            <c:delete val="1"/>
          </c:dLbls>
          <c:xVal>
            <c:numRef>
              <c:f>[1]企业价值!$C$26</c:f>
              <c:numCache>
                <c:formatCode>General</c:formatCode>
                <c:ptCount val="1"/>
                <c:pt idx="0">
                  <c:v>0.08</c:v>
                </c:pt>
              </c:numCache>
            </c:numRef>
          </c:xVal>
          <c:yVal>
            <c:numRef>
              <c:f>[1]企业价值!$C$51</c:f>
              <c:numCache>
                <c:formatCode>General</c:formatCode>
                <c:ptCount val="1"/>
                <c:pt idx="0">
                  <c:v>0</c:v>
                </c:pt>
              </c:numCache>
            </c:numRef>
          </c:yVal>
          <c:smooth val="0"/>
        </c:ser>
        <c:ser>
          <c:idx val="2"/>
          <c:order val="2"/>
          <c:spPr>
            <a:ln w="12700" cap="rnd" cmpd="sng" algn="ctr">
              <a:solidFill>
                <a:srgbClr val="FF0000"/>
              </a:solidFill>
              <a:prstDash val="solid"/>
              <a:round/>
            </a:ln>
            <a:effectLst/>
          </c:spPr>
          <c:marker>
            <c:symbol val="none"/>
          </c:marker>
          <c:dLbls>
            <c:delete val="1"/>
          </c:dLbls>
          <c:xVal>
            <c:numRef>
              <c:f>([1]企业价值!$C$26,[1]企业价值!$C$26)</c:f>
              <c:numCache>
                <c:formatCode>General</c:formatCode>
                <c:ptCount val="2"/>
                <c:pt idx="0">
                  <c:v>0.08</c:v>
                </c:pt>
                <c:pt idx="1">
                  <c:v>0.08</c:v>
                </c:pt>
              </c:numCache>
            </c:numRef>
          </c:xVal>
          <c:yVal>
            <c:numRef>
              <c:f>([1]企业价值!$M$6,[1]企业价值!$M$16)</c:f>
              <c:numCache>
                <c:formatCode>General</c:formatCode>
                <c:ptCount val="2"/>
                <c:pt idx="0">
                  <c:v>14936.6136447518</c:v>
                </c:pt>
                <c:pt idx="1">
                  <c:v>259609.135609419</c:v>
                </c:pt>
              </c:numCache>
            </c:numRef>
          </c:yVal>
          <c:smooth val="0"/>
        </c:ser>
        <c:dLbls>
          <c:showLegendKey val="0"/>
          <c:showVal val="0"/>
          <c:showCatName val="0"/>
          <c:showSerName val="0"/>
          <c:showPercent val="0"/>
          <c:showBubbleSize val="0"/>
        </c:dLbls>
        <c:axId val="84633088"/>
        <c:axId val="84639744"/>
      </c:scatterChart>
      <c:valAx>
        <c:axId val="84633088"/>
        <c:scaling>
          <c:orientation val="minMax"/>
        </c:scaling>
        <c:delete val="0"/>
        <c:axPos val="b"/>
        <c:title>
          <c:tx>
            <c:rich>
              <a:bodyPr rot="0" spcFirstLastPara="0" vertOverflow="ellipsis" vert="horz" wrap="square" anchor="ctr" anchorCtr="1"/>
              <a:lstStyle/>
              <a:p>
                <a:pPr algn="ct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a:t>成长期销售增长率</a:t>
                </a:r>
                <a:endParaRPr lang="zh-CN" altLang="en-US" sz="1000" b="0" i="0" u="none" strike="noStrike" baseline="0">
                  <a:solidFill>
                    <a:srgbClr val="000000">
                      <a:alpha val="100000"/>
                    </a:srgbClr>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5390149514748"/>
              <c:y val="0.854170142293874"/>
            </c:manualLayout>
          </c:layout>
          <c:overlay val="0"/>
          <c:spPr>
            <a:noFill/>
            <a:ln w="25400">
              <a:noFill/>
            </a:ln>
            <a:effectLst/>
          </c:sp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crossAx val="84639744"/>
        <c:crosses val="autoZero"/>
        <c:crossBetween val="midCat"/>
      </c:valAx>
      <c:valAx>
        <c:axId val="84639744"/>
        <c:scaling>
          <c:orientation val="minMax"/>
        </c:scaling>
        <c:delete val="0"/>
        <c:axPos val="l"/>
        <c:majorGridlines>
          <c:spPr>
            <a:ln w="3175" cap="flat" cmpd="sng" algn="ctr">
              <a:solidFill>
                <a:srgbClr val="000000"/>
              </a:solidFill>
              <a:prstDash val="solid"/>
              <a:round/>
            </a:ln>
            <a:effectLst/>
          </c:spPr>
        </c:majorGridlines>
        <c:title>
          <c:tx>
            <c:rich>
              <a:bodyPr rot="-5400000" spcFirstLastPara="0" vertOverflow="ellipsis" vert="horz" wrap="square" anchor="ctr" anchorCtr="1"/>
              <a:lstStyle/>
              <a:p>
                <a:pPr algn="ctr">
                  <a:defRPr lang="zh-CN" sz="10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rPr lang="zh-CN" altLang="en-US"/>
                  <a:t>企业价值</a:t>
                </a:r>
                <a:endParaRPr lang="zh-CN" altLang="en-US" sz="1000" b="0" i="0" u="none" strike="noStrike" baseline="0">
                  <a:solidFill>
                    <a:srgbClr val="000000">
                      <a:alpha val="100000"/>
                    </a:srgbClr>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0283688434467175"/>
              <c:y val="0.304167904329038"/>
            </c:manualLayout>
          </c:layout>
          <c:overlay val="0"/>
          <c:spPr>
            <a:noFill/>
            <a:ln w="25400">
              <a:noFill/>
            </a:ln>
            <a:effectLst/>
          </c:spPr>
        </c:title>
        <c:numFmt formatCode="General" sourceLinked="0"/>
        <c:majorTickMark val="in"/>
        <c:minorTickMark val="none"/>
        <c:tickLblPos val="nextTo"/>
        <c:spPr>
          <a:no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crossAx val="84633088"/>
        <c:crosses val="autoZero"/>
        <c:crossBetween val="midCat"/>
      </c:valAx>
      <c:spPr>
        <a:solidFill>
          <a:srgbClr val="FFFFFF"/>
        </a:solidFill>
        <a:ln w="12700">
          <a:solidFill>
            <a:srgbClr val="808080"/>
          </a:solidFill>
          <a:prstDash val="solid"/>
        </a:ln>
        <a:effectLst/>
      </c:spPr>
    </c:plotArea>
    <c:plotVisOnly val="1"/>
    <c:dispBlanksAs val="gap"/>
    <c:showDLblsOverMax val="0"/>
  </c:chart>
  <c:spPr>
    <a:solidFill>
      <a:srgbClr val="FFFFFF"/>
    </a:solidFill>
    <a:ln w="3175" cap="flat" cmpd="sng" algn="ctr">
      <a:solidFill>
        <a:srgbClr val="000000"/>
      </a:solidFill>
      <a:prstDash val="solid"/>
      <a:round/>
    </a:ln>
    <a:effectLst/>
  </c:spPr>
  <c:txPr>
    <a:bodyPr rot="0" spcFirstLastPara="0" vertOverflow="ellipsis" horzOverflow="overflow" vert="horz" wrap="square" anchor="ctr" anchorCtr="1"/>
    <a:lstStyle/>
    <a:p>
      <a:pPr>
        <a:defRPr lang="zh-CN" sz="1075" b="0" i="0" u="none" strike="noStrike" baseline="0">
          <a:solidFill>
            <a:srgbClr val="000000"/>
          </a:solidFill>
          <a:latin typeface="宋体" panose="02010600030101010101" pitchFamily="7" charset="-122"/>
          <a:ea typeface="宋体" panose="02010600030101010101" pitchFamily="7" charset="-122"/>
          <a:cs typeface="宋体" panose="02010600030101010101" pitchFamily="7" charset="-122"/>
        </a:defRPr>
      </a:pPr>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所有者权益变动表!#REF!</c:f>
              <c:strCache>
                <c:ptCount val="1"/>
                <c:pt idx="0">
                  <c:v/>
                </c:pt>
              </c:strCache>
            </c:strRef>
          </c:tx>
          <c:spPr>
            <a:ln w="12700" cap="rnd" cmpd="sng" algn="ctr">
              <a:solidFill>
                <a:srgbClr val="0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1"/>
          <c:order val="1"/>
          <c:tx>
            <c:strRef>
              <c:f>所有者权益变动表!#REF!</c:f>
              <c:strCache>
                <c:ptCount val="1"/>
                <c:pt idx="0">
                  <c:v/>
                </c:pt>
              </c:strCache>
            </c:strRef>
          </c:tx>
          <c:spPr>
            <a:ln w="12700" cap="rnd" cmpd="sng" algn="ctr">
              <a:solidFill>
                <a:srgbClr val="FF00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2"/>
          <c:order val="2"/>
          <c:tx>
            <c:strRef>
              <c:f>所有者权益变动表!#REF!</c:f>
              <c:strCache>
                <c:ptCount val="1"/>
                <c:pt idx="0">
                  <c:v/>
                </c:pt>
              </c:strCache>
            </c:strRef>
          </c:tx>
          <c:spPr>
            <a:ln w="12700" cap="rnd" cmpd="sng" algn="ctr">
              <a:solidFill>
                <a:srgbClr val="FFFF00"/>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3"/>
          <c:order val="3"/>
          <c:tx>
            <c:strRef>
              <c:f>所有者权益变动表!#REF!</c:f>
              <c:strCache>
                <c:ptCount val="1"/>
                <c:pt idx="0">
                  <c:v/>
                </c:pt>
              </c:strCache>
            </c:strRef>
          </c:tx>
          <c:spPr>
            <a:ln w="12700" cap="rnd" cmpd="sng" algn="ctr">
              <a:solidFill>
                <a:srgbClr val="00FFFF"/>
              </a:solidFill>
              <a:prstDash val="solid"/>
              <a:round/>
            </a:ln>
            <a:effectLst/>
          </c:spPr>
          <c:marker>
            <c:symbol val="none"/>
          </c:marker>
          <c:dLbls>
            <c:delete val="1"/>
          </c:dLbls>
          <c:val>
            <c:numRef>
              <c:f>所有者权益变动表!#REF!</c:f>
              <c:numCache>
                <c:formatCode>General</c:formatCode>
                <c:ptCount val="1"/>
                <c:pt idx="0">
                  <c:v>1</c:v>
                </c:pt>
              </c:numCache>
            </c:numRef>
          </c:val>
          <c:smooth val="0"/>
        </c:ser>
        <c:ser>
          <c:idx val="4"/>
          <c:order val="4"/>
          <c:tx>
            <c:strRef>
              <c:f>所有者权益变动表!#REF!</c:f>
              <c:strCache>
                <c:ptCount val="1"/>
                <c:pt idx="0">
                  <c:v/>
                </c:pt>
              </c:strCache>
            </c:strRef>
          </c:tx>
          <c:spPr>
            <a:ln w="12700" cap="rnd" cmpd="sng" algn="ctr">
              <a:solidFill>
                <a:srgbClr val="800080"/>
              </a:solidFill>
              <a:prstDash val="solid"/>
              <a:round/>
            </a:ln>
            <a:effectLst/>
          </c:spPr>
          <c:marker>
            <c:symbol val="none"/>
          </c:marker>
          <c:dLbls>
            <c:delete val="1"/>
          </c:dLbls>
          <c:val>
            <c:numRef>
              <c:f>所有者权益变动表!#REF!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1714304"/>
        <c:axId val="91715840"/>
      </c:lineChart>
      <c:catAx>
        <c:axId val="917143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715840"/>
        <c:crosses val="autoZero"/>
        <c:auto val="1"/>
        <c:lblAlgn val="ctr"/>
        <c:lblOffset val="100"/>
        <c:noMultiLvlLbl val="0"/>
      </c:catAx>
      <c:valAx>
        <c:axId val="917158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71430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1744512"/>
        <c:axId val="91885568"/>
      </c:barChart>
      <c:catAx>
        <c:axId val="917445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885568"/>
        <c:crosses val="autoZero"/>
        <c:auto val="1"/>
        <c:lblAlgn val="ctr"/>
        <c:lblOffset val="100"/>
        <c:noMultiLvlLbl val="0"/>
      </c:catAx>
      <c:valAx>
        <c:axId val="918855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74451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2925"/>
          <c:h val="0.46275"/>
        </c:manualLayout>
      </c:layout>
      <c:barChart>
        <c:barDir val="col"/>
        <c:grouping val="clustered"/>
        <c:varyColors val="0"/>
        <c:ser>
          <c:idx val="0"/>
          <c:order val="0"/>
          <c:tx>
            <c:strRef>
              <c:f>所有者权益变动表!#REF!</c:f>
              <c:strCache>
                <c:ptCount val="1"/>
                <c:pt idx="0">
                  <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所有者权益变动表!#REF!</c:f>
              <c:strCache>
                <c:ptCount val="1"/>
                <c:pt idx="0">
                  <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2"/>
          <c:order val="2"/>
          <c:tx>
            <c:strRef>
              <c:f>所有者权益变动表!#REF!</c:f>
              <c:strCache>
                <c:ptCount val="1"/>
                <c:pt idx="0">
                  <c:v/>
                </c:pt>
              </c:strCache>
            </c:strRef>
          </c:tx>
          <c:spPr>
            <a:solidFill>
              <a:srgbClr val="FFFFCC"/>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3"/>
          <c:order val="3"/>
          <c:tx>
            <c:strRef>
              <c:f>所有者权益变动表!#REF!</c:f>
              <c:strCache>
                <c:ptCount val="1"/>
                <c:pt idx="0">
                  <c:v/>
                </c:pt>
              </c:strCache>
            </c:strRef>
          </c:tx>
          <c:spPr>
            <a:solidFill>
              <a:srgbClr val="CCFF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1928064"/>
        <c:axId val="91929600"/>
      </c:barChart>
      <c:catAx>
        <c:axId val="919280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929600"/>
        <c:crosses val="autoZero"/>
        <c:auto val="1"/>
        <c:lblAlgn val="ctr"/>
        <c:lblOffset val="100"/>
        <c:noMultiLvlLbl val="0"/>
      </c:catAx>
      <c:valAx>
        <c:axId val="919296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92806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135"/>
          <c:h val="0.403"/>
        </c:manualLayout>
      </c:layout>
      <c:barChart>
        <c:barDir val="col"/>
        <c:grouping val="clustered"/>
        <c:varyColors val="0"/>
        <c:ser>
          <c:idx val="0"/>
          <c:order val="0"/>
          <c:tx>
            <c:strRef>
              <c:f>所有者权益变动表!#REF!</c:f>
              <c:strCache>
                <c:ptCount val="1"/>
                <c:pt idx="0">
                  <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所有者权益变动表!#REF!</c:f>
              <c:strCache>
                <c:ptCount val="1"/>
                <c:pt idx="0">
                  <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2"/>
          <c:order val="2"/>
          <c:tx>
            <c:strRef>
              <c:f>所有者权益变动表!#REF!</c:f>
              <c:strCache>
                <c:ptCount val="1"/>
                <c:pt idx="0">
                  <c:v/>
                </c:pt>
              </c:strCache>
            </c:strRef>
          </c:tx>
          <c:spPr>
            <a:solidFill>
              <a:srgbClr val="FFFFCC"/>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3"/>
          <c:order val="3"/>
          <c:tx>
            <c:strRef>
              <c:f>所有者权益变动表!#REF!</c:f>
              <c:strCache>
                <c:ptCount val="1"/>
                <c:pt idx="0">
                  <c:v/>
                </c:pt>
              </c:strCache>
            </c:strRef>
          </c:tx>
          <c:spPr>
            <a:solidFill>
              <a:srgbClr val="CCFF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1980544"/>
        <c:axId val="91982080"/>
      </c:barChart>
      <c:catAx>
        <c:axId val="91980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982080"/>
        <c:crosses val="autoZero"/>
        <c:auto val="1"/>
        <c:lblAlgn val="ctr"/>
        <c:lblOffset val="100"/>
        <c:noMultiLvlLbl val="0"/>
      </c:catAx>
      <c:valAx>
        <c:axId val="919820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19805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2092672"/>
        <c:axId val="92102656"/>
      </c:barChart>
      <c:catAx>
        <c:axId val="920926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102656"/>
        <c:crosses val="autoZero"/>
        <c:auto val="1"/>
        <c:lblAlgn val="ctr"/>
        <c:lblOffset val="100"/>
        <c:noMultiLvlLbl val="0"/>
      </c:catAx>
      <c:valAx>
        <c:axId val="921026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09267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2123136"/>
        <c:axId val="92124672"/>
      </c:barChart>
      <c:catAx>
        <c:axId val="921231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124672"/>
        <c:crosses val="autoZero"/>
        <c:auto val="1"/>
        <c:lblAlgn val="ctr"/>
        <c:lblOffset val="100"/>
        <c:noMultiLvlLbl val="0"/>
      </c:catAx>
      <c:valAx>
        <c:axId val="921246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1231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2149248"/>
        <c:axId val="92150784"/>
      </c:barChart>
      <c:catAx>
        <c:axId val="921492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150784"/>
        <c:crosses val="autoZero"/>
        <c:auto val="1"/>
        <c:lblAlgn val="ctr"/>
        <c:lblOffset val="100"/>
        <c:noMultiLvlLbl val="0"/>
      </c:catAx>
      <c:valAx>
        <c:axId val="921507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14924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所有者权益变动表!#REF!</c:f>
              <c:numCache>
                <c:ptCount val="0"/>
              </c:numCache>
            </c:numRef>
          </c:cat>
          <c:val>
            <c:numRef>
              <c:f>所有者权益变动表!#REF!</c:f>
              <c:numCache>
                <c:formatCode>General</c:formatCode>
                <c:ptCount val="1"/>
                <c:pt idx="0">
                  <c:v>1</c:v>
                </c:pt>
              </c:numCache>
            </c:numRef>
          </c:val>
        </c:ser>
        <c:dLbls>
          <c:showLegendKey val="0"/>
          <c:showVal val="0"/>
          <c:showCatName val="0"/>
          <c:showSerName val="0"/>
          <c:showPercent val="0"/>
          <c:showBubbleSize val="0"/>
        </c:dLbls>
        <c:gapWidth val="150"/>
        <c:axId val="92208128"/>
        <c:axId val="92021504"/>
      </c:barChart>
      <c:catAx>
        <c:axId val="922081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021504"/>
        <c:crosses val="autoZero"/>
        <c:auto val="1"/>
        <c:lblAlgn val="ctr"/>
        <c:lblOffset val="100"/>
        <c:noMultiLvlLbl val="0"/>
      </c:catAx>
      <c:valAx>
        <c:axId val="920215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20812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
          <c:y val="0.06"/>
          <c:w val="0.85175"/>
          <c:h val="0.58075"/>
        </c:manualLayout>
      </c:layout>
      <c:barChart>
        <c:barDir val="col"/>
        <c:grouping val="clustered"/>
        <c:varyColors val="0"/>
        <c:ser>
          <c:idx val="0"/>
          <c:order val="0"/>
          <c:tx>
            <c:strRef>
              <c:f>[2]E产品成本分析表!$B$14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[2]E产品成本分析表!$C$14:$N$14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[2]E产品成本分析表!$B$15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[2]E产品成本分析表!$C$15:$N$15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[2]E产品成本分析表!$B$16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[2]E产品成本分析表!$C$16:$N$16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[2]E产品成本分析表!$B$17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[2]E产品成本分析表!$C$17:$N$17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2059904"/>
        <c:axId val="92065792"/>
      </c:barChart>
      <c:catAx>
        <c:axId val="920599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065792"/>
        <c:crosses val="autoZero"/>
        <c:auto val="1"/>
        <c:lblAlgn val="ctr"/>
        <c:lblOffset val="100"/>
        <c:noMultiLvlLbl val="0"/>
      </c:catAx>
      <c:valAx>
        <c:axId val="9206579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05990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141"/>
          <c:y val="0.81525"/>
          <c:w val="0.45426642111725"/>
          <c:h val="0.17325800376647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05000000000001"/>
          <c:y val="0.09025"/>
          <c:w val="0.90525"/>
          <c:h val="0.6205"/>
        </c:manualLayout>
      </c:layout>
      <c:lineChart>
        <c:grouping val="standard"/>
        <c:varyColors val="0"/>
        <c:ser>
          <c:idx val="0"/>
          <c:order val="0"/>
          <c:tx>
            <c:strRef>
              <c:f>[2]E产品成本分析表!$B$11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[2]E产品成本分析表!$C$11:$N$11</c:f>
              <c:numCache>
                <c:formatCode>General</c:formatCode>
                <c:ptCount val="12"/>
              </c:numCache>
            </c:numRef>
          </c:val>
          <c:smooth val="0"/>
        </c:ser>
        <c:ser>
          <c:idx val="1"/>
          <c:order val="1"/>
          <c:tx>
            <c:strRef>
              <c:f>[2]E产品成本分析表!$B$12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[2]E产品成本分析表!$C$12:$N$12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92303360"/>
        <c:axId val="92304896"/>
      </c:lineChart>
      <c:catAx>
        <c:axId val="923033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304896"/>
        <c:crosses val="autoZero"/>
        <c:auto val="1"/>
        <c:lblAlgn val="ctr"/>
        <c:lblOffset val="100"/>
        <c:noMultiLvlLbl val="0"/>
      </c:catAx>
      <c:valAx>
        <c:axId val="9230489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30336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835"/>
          <c:y val="0.86775"/>
          <c:w val="0.48375"/>
          <c:h val="0.11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575"/>
          <c:y val="0.37325"/>
          <c:w val="0.7685"/>
          <c:h val="0.209"/>
        </c:manualLayout>
      </c:layout>
      <c:lineChart>
        <c:grouping val="standard"/>
        <c:varyColors val="0"/>
        <c:ser>
          <c:idx val="0"/>
          <c:order val="0"/>
          <c:tx>
            <c:strRef>
              <c:f>目录!#REF!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目录!#REF!</c:f>
              <c:numCache>
                <c:formatCode>General</c:formatCode>
                <c:ptCount val="1"/>
                <c:pt idx="0">
                  <c:v>1</c:v>
                </c:pt>
              </c:numCache>
            </c:numRef>
          </c:val>
          <c:smooth val="0"/>
        </c:ser>
        <c:ser>
          <c:idx val="1"/>
          <c:order val="1"/>
          <c:tx>
            <c:strRef>
              <c:f>目录!#REF!</c:f>
              <c:strCache>
                <c:ptCount val="1"/>
                <c:pt idx="0">
                  <c:v/>
                </c:pt>
              </c:strCache>
            </c:strRef>
          </c:tx>
          <c:spPr>
            <a:ln w="12700" cap="rnd" cmpd="sng" algn="ctr">
              <a:solidFill>
                <a:srgbClr val="FF00FF"/>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283200"/>
        <c:axId val="85284736"/>
      </c:lineChart>
      <c:catAx>
        <c:axId val="852832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284736"/>
        <c:crosses val="autoZero"/>
        <c:auto val="1"/>
        <c:lblAlgn val="ctr"/>
        <c:lblOffset val="100"/>
        <c:noMultiLvlLbl val="0"/>
      </c:catAx>
      <c:valAx>
        <c:axId val="852847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28320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6825"/>
          <c:w val="0.9"/>
          <c:h val="0.59"/>
        </c:manualLayout>
      </c:layout>
      <c:lineChart>
        <c:grouping val="standard"/>
        <c:varyColors val="0"/>
        <c:ser>
          <c:idx val="0"/>
          <c:order val="0"/>
          <c:tx>
            <c:strRef>
              <c:f>[2]E产品成本分析表!$B$5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[2]E产品成本分析表!$C$5:$N$5</c:f>
              <c:numCache>
                <c:formatCode>General</c:formatCode>
                <c:ptCount val="12"/>
              </c:numCache>
            </c:numRef>
          </c:val>
          <c:smooth val="0"/>
        </c:ser>
        <c:ser>
          <c:idx val="1"/>
          <c:order val="1"/>
          <c:tx>
            <c:strRef>
              <c:f>[2]E产品成本分析表!$B$6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[2]E产品成本分析表!$C$6:$N$6</c:f>
              <c:numCache>
                <c:formatCode>General</c:formatCode>
                <c:ptCount val="12"/>
              </c:numCache>
            </c:numRef>
          </c:val>
          <c:smooth val="0"/>
        </c:ser>
        <c:ser>
          <c:idx val="2"/>
          <c:order val="2"/>
          <c:tx>
            <c:strRef>
              <c:f>[2]E产品成本分析表!$B$7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[2]E产品成本分析表!$C$7:$N$7</c:f>
              <c:numCache>
                <c:formatCode>General</c:formatCode>
                <c:ptCount val="12"/>
              </c:numCache>
            </c:numRef>
          </c:val>
          <c:smooth val="0"/>
        </c:ser>
        <c:ser>
          <c:idx val="3"/>
          <c:order val="3"/>
          <c:tx>
            <c:strRef>
              <c:f>[2]E产品成本分析表!$B$8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[2]E产品成本分析表!$C$8:$N$8</c:f>
              <c:numCache>
                <c:formatCode>General</c:formatCode>
                <c:ptCount val="12"/>
              </c:numCache>
            </c:numRef>
          </c:val>
          <c:smooth val="0"/>
        </c:ser>
        <c:ser>
          <c:idx val="4"/>
          <c:order val="4"/>
          <c:tx>
            <c:strRef>
              <c:f>[2]E产品成本分析表!$B$11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[2]E产品成本分析表!$C$11:$N$11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92430336"/>
        <c:axId val="92431872"/>
      </c:lineChart>
      <c:catAx>
        <c:axId val="924303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431872"/>
        <c:crosses val="autoZero"/>
        <c:auto val="1"/>
        <c:lblAlgn val="ctr"/>
        <c:lblOffset val="100"/>
        <c:noMultiLvlLbl val="0"/>
      </c:catAx>
      <c:valAx>
        <c:axId val="924318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4303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75"/>
          <c:y val="0.37325"/>
          <c:w val="0.76625"/>
          <c:h val="0.209"/>
        </c:manualLayout>
      </c:layout>
      <c:lineChart>
        <c:grouping val="standard"/>
        <c:varyColors val="0"/>
        <c:ser>
          <c:idx val="0"/>
          <c:order val="0"/>
          <c:tx>
            <c:strRef>
              <c:f>财务比率分析!#REF!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1"/>
          <c:order val="1"/>
          <c:tx>
            <c:strRef>
              <c:f>财务比率分析!#REF!</c:f>
              <c:strCache>
                <c:ptCount val="1"/>
                <c:pt idx="0">
                  <c:v/>
                </c:pt>
              </c:strCache>
            </c:strRef>
          </c:tx>
          <c:spPr>
            <a:ln w="12700" cap="rnd" cmpd="sng" algn="ctr">
              <a:solidFill>
                <a:srgbClr val="FF00FF"/>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493696"/>
        <c:axId val="92495232"/>
      </c:lineChart>
      <c:catAx>
        <c:axId val="924936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495232"/>
        <c:crosses val="autoZero"/>
        <c:auto val="1"/>
        <c:lblAlgn val="ctr"/>
        <c:lblOffset val="100"/>
        <c:noMultiLvlLbl val="0"/>
      </c:catAx>
      <c:valAx>
        <c:axId val="924952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49369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519424"/>
        <c:axId val="92533504"/>
      </c:lineChart>
      <c:catAx>
        <c:axId val="925194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533504"/>
        <c:crosses val="autoZero"/>
        <c:auto val="1"/>
        <c:lblAlgn val="ctr"/>
        <c:lblOffset val="100"/>
        <c:noMultiLvlLbl val="0"/>
      </c:catAx>
      <c:valAx>
        <c:axId val="925335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51942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5025"/>
          <c:y val="0.388"/>
          <c:w val="0.7915"/>
          <c:h val="0.3582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1"/>
          <c:order val="1"/>
          <c:tx>
            <c:strRef>
              <c:f>财务比率分析!#REF!</c:f>
              <c:strCache>
                <c:ptCount val="1"/>
                <c:pt idx="0">
                  <c:v/>
                </c:pt>
              </c:strCache>
            </c:strRef>
          </c:tx>
          <c:spPr>
            <a:ln w="12700" cap="rnd" cmpd="sng" algn="ctr">
              <a:solidFill>
                <a:srgbClr val="FF00FF"/>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370048"/>
        <c:axId val="92371584"/>
      </c:lineChart>
      <c:catAx>
        <c:axId val="923700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371584"/>
        <c:crosses val="autoZero"/>
        <c:auto val="1"/>
        <c:lblAlgn val="ctr"/>
        <c:lblOffset val="100"/>
        <c:noMultiLvlLbl val="0"/>
      </c:catAx>
      <c:valAx>
        <c:axId val="923715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37004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403968"/>
        <c:axId val="92618752"/>
      </c:lineChart>
      <c:catAx>
        <c:axId val="924039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618752"/>
        <c:crosses val="autoZero"/>
        <c:auto val="1"/>
        <c:lblAlgn val="ctr"/>
        <c:lblOffset val="100"/>
        <c:noMultiLvlLbl val="0"/>
      </c:catAx>
      <c:valAx>
        <c:axId val="926187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40396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5025"/>
          <c:y val="0.35825"/>
          <c:w val="0.7915"/>
          <c:h val="0.388"/>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1"/>
          <c:order val="1"/>
          <c:tx>
            <c:strRef>
              <c:f>财务比率分析!#REF!</c:f>
              <c:strCache>
                <c:ptCount val="1"/>
                <c:pt idx="0">
                  <c:v/>
                </c:pt>
              </c:strCache>
            </c:strRef>
          </c:tx>
          <c:spPr>
            <a:ln w="12700" cap="rnd" cmpd="sng" algn="ctr">
              <a:solidFill>
                <a:srgbClr val="FF00FF"/>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656000"/>
        <c:axId val="92657536"/>
      </c:lineChart>
      <c:catAx>
        <c:axId val="926560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657536"/>
        <c:crosses val="autoZero"/>
        <c:auto val="1"/>
        <c:lblAlgn val="ctr"/>
        <c:lblOffset val="100"/>
        <c:noMultiLvlLbl val="0"/>
      </c:catAx>
      <c:valAx>
        <c:axId val="926575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65600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583424"/>
        <c:axId val="92584960"/>
      </c:lineChart>
      <c:catAx>
        <c:axId val="925834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584960"/>
        <c:crosses val="autoZero"/>
        <c:auto val="1"/>
        <c:lblAlgn val="ctr"/>
        <c:lblOffset val="100"/>
        <c:noMultiLvlLbl val="0"/>
      </c:catAx>
      <c:valAx>
        <c:axId val="925849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58342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8"/>
          <c:y val="0.35825"/>
          <c:w val="0.7742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740224"/>
        <c:axId val="92750208"/>
      </c:lineChart>
      <c:catAx>
        <c:axId val="927402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750208"/>
        <c:crosses val="autoZero"/>
        <c:auto val="1"/>
        <c:lblAlgn val="ctr"/>
        <c:lblOffset val="100"/>
        <c:noMultiLvlLbl val="0"/>
      </c:catAx>
      <c:valAx>
        <c:axId val="927502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74022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5"/>
          <c:y val="0.1195"/>
          <c:w val="0.91525"/>
          <c:h val="0.104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1"/>
          <c:order val="1"/>
          <c:tx>
            <c:strRef>
              <c:f>财务比率分析!#REF!</c:f>
              <c:strCache>
                <c:ptCount val="1"/>
                <c:pt idx="0">
                  <c:v/>
                </c:pt>
              </c:strCache>
            </c:strRef>
          </c:tx>
          <c:spPr>
            <a:ln w="12700" cap="rnd" cmpd="sng" algn="ctr">
              <a:solidFill>
                <a:srgbClr val="FF00FF"/>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2"/>
          <c:order val="2"/>
          <c:tx>
            <c:strRef>
              <c:f>财务比率分析!#REF!</c:f>
              <c:strCache>
                <c:ptCount val="1"/>
                <c:pt idx="0">
                  <c:v/>
                </c:pt>
              </c:strCache>
            </c:strRef>
          </c:tx>
          <c:spPr>
            <a:ln w="12700" cap="rnd" cmpd="sng" algn="ctr">
              <a:solidFill>
                <a:srgbClr val="FFFF0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3"/>
          <c:order val="3"/>
          <c:tx>
            <c:strRef>
              <c:f>财务比率分析!#REF!</c:f>
              <c:strCache>
                <c:ptCount val="1"/>
                <c:pt idx="0">
                  <c:v/>
                </c:pt>
              </c:strCache>
            </c:strRef>
          </c:tx>
          <c:spPr>
            <a:ln w="12700" cap="rnd" cmpd="sng" algn="ctr">
              <a:solidFill>
                <a:srgbClr val="00FFFF"/>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4"/>
          <c:order val="4"/>
          <c:tx>
            <c:strRef>
              <c:f>财务比率分析!#REF!</c:f>
              <c:strCache>
                <c:ptCount val="1"/>
                <c:pt idx="0">
                  <c:v/>
                </c:pt>
              </c:strCache>
            </c:strRef>
          </c:tx>
          <c:spPr>
            <a:ln w="12700" cap="rnd" cmpd="sng" algn="ctr">
              <a:solidFill>
                <a:srgbClr val="8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705920"/>
        <c:axId val="92707456"/>
      </c:lineChart>
      <c:catAx>
        <c:axId val="927059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707456"/>
        <c:crosses val="autoZero"/>
        <c:auto val="1"/>
        <c:lblAlgn val="ctr"/>
        <c:lblOffset val="100"/>
        <c:noMultiLvlLbl val="0"/>
      </c:catAx>
      <c:valAx>
        <c:axId val="927074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70592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40318241469816"/>
          <c:y val="0.516512467191601"/>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目录!#REF!</c:f>
              <c:strCache>
                <c:ptCount val="1"/>
                <c:pt idx="0">
                  <c:v/>
                </c:pt>
              </c:strCache>
            </c:strRef>
          </c:tx>
          <c:spPr>
            <a:ln w="12700" cap="rnd" cmpd="sng" algn="ctr">
              <a:solidFill>
                <a:srgbClr val="000080"/>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317120"/>
        <c:axId val="85318656"/>
      </c:lineChart>
      <c:catAx>
        <c:axId val="853171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318656"/>
        <c:crosses val="autoZero"/>
        <c:auto val="1"/>
        <c:lblAlgn val="ctr"/>
        <c:lblOffset val="100"/>
        <c:noMultiLvlLbl val="0"/>
      </c:catAx>
      <c:valAx>
        <c:axId val="853186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31712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财务比率分析!#REF!</c:f>
              <c:strCache>
                <c:ptCount val="1"/>
                <c:pt idx="0">
                  <c:v/>
                </c:pt>
              </c:strCache>
            </c:strRef>
          </c:tx>
          <c:spPr>
            <a:ln w="12700" cap="rnd" cmpd="sng" algn="ctr">
              <a:solidFill>
                <a:srgbClr val="00008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1"/>
          <c:order val="1"/>
          <c:tx>
            <c:strRef>
              <c:f>财务比率分析!#REF!</c:f>
              <c:strCache>
                <c:ptCount val="1"/>
                <c:pt idx="0">
                  <c:v/>
                </c:pt>
              </c:strCache>
            </c:strRef>
          </c:tx>
          <c:spPr>
            <a:ln w="12700" cap="rnd" cmpd="sng" algn="ctr">
              <a:solidFill>
                <a:srgbClr val="FF00FF"/>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2"/>
          <c:order val="2"/>
          <c:tx>
            <c:strRef>
              <c:f>财务比率分析!#REF!</c:f>
              <c:strCache>
                <c:ptCount val="1"/>
                <c:pt idx="0">
                  <c:v/>
                </c:pt>
              </c:strCache>
            </c:strRef>
          </c:tx>
          <c:spPr>
            <a:ln w="12700" cap="rnd" cmpd="sng" algn="ctr">
              <a:solidFill>
                <a:srgbClr val="FFFF00"/>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3"/>
          <c:order val="3"/>
          <c:tx>
            <c:strRef>
              <c:f>财务比率分析!#REF!</c:f>
              <c:strCache>
                <c:ptCount val="1"/>
                <c:pt idx="0">
                  <c:v/>
                </c:pt>
              </c:strCache>
            </c:strRef>
          </c:tx>
          <c:spPr>
            <a:ln w="12700" cap="rnd" cmpd="sng" algn="ctr">
              <a:solidFill>
                <a:srgbClr val="00FFFF"/>
              </a:solidFill>
              <a:prstDash val="solid"/>
              <a:round/>
            </a:ln>
            <a:effectLst/>
          </c:spPr>
          <c:marker>
            <c:symbol val="none"/>
          </c:marker>
          <c:dLbls>
            <c:delete val="1"/>
          </c:dLbls>
          <c:val>
            <c:numRef>
              <c:f>财务比率分析!#REF!</c:f>
              <c:numCache>
                <c:formatCode>General</c:formatCode>
                <c:ptCount val="1"/>
                <c:pt idx="0">
                  <c:v>1</c:v>
                </c:pt>
              </c:numCache>
            </c:numRef>
          </c:val>
          <c:smooth val="0"/>
        </c:ser>
        <c:ser>
          <c:idx val="4"/>
          <c:order val="4"/>
          <c:tx>
            <c:strRef>
              <c:f>财务比率分析!#REF!</c:f>
              <c:strCache>
                <c:ptCount val="1"/>
                <c:pt idx="0">
                  <c:v/>
                </c:pt>
              </c:strCache>
            </c:strRef>
          </c:tx>
          <c:spPr>
            <a:ln w="12700" cap="rnd" cmpd="sng" algn="ctr">
              <a:solidFill>
                <a:srgbClr val="800080"/>
              </a:solidFill>
              <a:prstDash val="solid"/>
              <a:round/>
            </a:ln>
            <a:effectLst/>
          </c:spPr>
          <c:marker>
            <c:symbol val="none"/>
          </c:marker>
          <c:dLbls>
            <c:delete val="1"/>
          </c:dLbls>
          <c:val>
            <c:numRef>
              <c:f>财务比率分析!#REF!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92828800"/>
        <c:axId val="92830336"/>
      </c:lineChart>
      <c:catAx>
        <c:axId val="928288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830336"/>
        <c:crosses val="autoZero"/>
        <c:auto val="1"/>
        <c:lblAlgn val="ctr"/>
        <c:lblOffset val="100"/>
        <c:noMultiLvlLbl val="0"/>
      </c:catAx>
      <c:valAx>
        <c:axId val="928303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8288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25"/>
          <c:y val="0.23875"/>
          <c:w val="0.79775"/>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92863104"/>
        <c:axId val="12456320"/>
      </c:barChart>
      <c:catAx>
        <c:axId val="928631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456320"/>
        <c:crosses val="autoZero"/>
        <c:auto val="1"/>
        <c:lblAlgn val="ctr"/>
        <c:lblOffset val="100"/>
        <c:noMultiLvlLbl val="0"/>
      </c:catAx>
      <c:valAx>
        <c:axId val="124563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286310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325"/>
          <c:y val="0.0895000000000001"/>
          <c:w val="0.92775"/>
          <c:h val="0.46275"/>
        </c:manualLayout>
      </c:layout>
      <c:barChart>
        <c:barDir val="col"/>
        <c:grouping val="clustered"/>
        <c:varyColors val="0"/>
        <c:ser>
          <c:idx val="0"/>
          <c:order val="0"/>
          <c:tx>
            <c:strRef>
              <c:f>财务比率分析!#REF!</c:f>
              <c:strCache>
                <c:ptCount val="1"/>
                <c:pt idx="0">
                  <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财务比率分析!#REF!</c:f>
              <c:strCache>
                <c:ptCount val="1"/>
                <c:pt idx="0">
                  <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2"/>
          <c:order val="2"/>
          <c:tx>
            <c:strRef>
              <c:f>财务比率分析!#REF!</c:f>
              <c:strCache>
                <c:ptCount val="1"/>
                <c:pt idx="0">
                  <c:v/>
                </c:pt>
              </c:strCache>
            </c:strRef>
          </c:tx>
          <c:spPr>
            <a:solidFill>
              <a:srgbClr val="FFFFCC"/>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3"/>
          <c:order val="3"/>
          <c:tx>
            <c:strRef>
              <c:f>财务比率分析!#REF!</c:f>
              <c:strCache>
                <c:ptCount val="1"/>
                <c:pt idx="0">
                  <c:v/>
                </c:pt>
              </c:strCache>
            </c:strRef>
          </c:tx>
          <c:spPr>
            <a:solidFill>
              <a:srgbClr val="CCFF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12482432"/>
        <c:axId val="12483968"/>
      </c:barChart>
      <c:catAx>
        <c:axId val="124824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483968"/>
        <c:crosses val="autoZero"/>
        <c:auto val="1"/>
        <c:lblAlgn val="ctr"/>
        <c:lblOffset val="100"/>
        <c:noMultiLvlLbl val="0"/>
      </c:catAx>
      <c:valAx>
        <c:axId val="124839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48243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025"/>
          <c:y val="0.0895000000000001"/>
          <c:w val="0.915"/>
          <c:h val="0.403"/>
        </c:manualLayout>
      </c:layout>
      <c:barChart>
        <c:barDir val="col"/>
        <c:grouping val="clustered"/>
        <c:varyColors val="0"/>
        <c:ser>
          <c:idx val="0"/>
          <c:order val="0"/>
          <c:tx>
            <c:strRef>
              <c:f>财务比率分析!#REF!</c:f>
              <c:strCache>
                <c:ptCount val="1"/>
                <c:pt idx="0">
                  <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财务比率分析!#REF!</c:f>
              <c:strCache>
                <c:ptCount val="1"/>
                <c:pt idx="0">
                  <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2"/>
          <c:order val="2"/>
          <c:tx>
            <c:strRef>
              <c:f>财务比率分析!#REF!</c:f>
              <c:strCache>
                <c:ptCount val="1"/>
                <c:pt idx="0">
                  <c:v/>
                </c:pt>
              </c:strCache>
            </c:strRef>
          </c:tx>
          <c:spPr>
            <a:solidFill>
              <a:srgbClr val="FFFFCC"/>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3"/>
          <c:order val="3"/>
          <c:tx>
            <c:strRef>
              <c:f>财务比率分析!#REF!</c:f>
              <c:strCache>
                <c:ptCount val="1"/>
                <c:pt idx="0">
                  <c:v/>
                </c:pt>
              </c:strCache>
            </c:strRef>
          </c:tx>
          <c:spPr>
            <a:solidFill>
              <a:srgbClr val="CCFF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93095040"/>
        <c:axId val="93096576"/>
      </c:barChart>
      <c:catAx>
        <c:axId val="930950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096576"/>
        <c:crosses val="autoZero"/>
        <c:auto val="1"/>
        <c:lblAlgn val="ctr"/>
        <c:lblOffset val="100"/>
        <c:noMultiLvlLbl val="0"/>
      </c:catAx>
      <c:valAx>
        <c:axId val="930965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09504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925"/>
          <c:y val="0.0895000000000001"/>
          <c:w val="0.9482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12520064"/>
        <c:axId val="12525952"/>
      </c:barChart>
      <c:catAx>
        <c:axId val="125200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525952"/>
        <c:crosses val="autoZero"/>
        <c:auto val="1"/>
        <c:lblAlgn val="ctr"/>
        <c:lblOffset val="100"/>
        <c:noMultiLvlLbl val="0"/>
      </c:catAx>
      <c:valAx>
        <c:axId val="125259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52006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75"/>
          <c:y val="0.0895000000000001"/>
          <c:w val="0.95775"/>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12554624"/>
        <c:axId val="12556160"/>
      </c:barChart>
      <c:catAx>
        <c:axId val="125546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556160"/>
        <c:crosses val="autoZero"/>
        <c:auto val="1"/>
        <c:lblAlgn val="ctr"/>
        <c:lblOffset val="100"/>
        <c:noMultiLvlLbl val="0"/>
      </c:catAx>
      <c:valAx>
        <c:axId val="125561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1255462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925"/>
          <c:y val="0.0895000000000001"/>
          <c:w val="0.948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93206400"/>
        <c:axId val="93207936"/>
      </c:barChart>
      <c:catAx>
        <c:axId val="932064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07936"/>
        <c:crosses val="autoZero"/>
        <c:auto val="1"/>
        <c:lblAlgn val="ctr"/>
        <c:lblOffset val="100"/>
        <c:noMultiLvlLbl val="0"/>
      </c:catAx>
      <c:valAx>
        <c:axId val="932079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064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25"/>
          <c:y val="0.0895000000000001"/>
          <c:w val="0.952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财务比率分析!#REF!</c:f>
              <c:numCache>
                <c:ptCount val="0"/>
              </c:numCache>
            </c:numRef>
          </c:cat>
          <c:val>
            <c:numRef>
              <c:f>财务比率分析!#REF!</c:f>
              <c:numCache>
                <c:formatCode>General</c:formatCode>
                <c:ptCount val="1"/>
                <c:pt idx="0">
                  <c:v>1</c:v>
                </c:pt>
              </c:numCache>
            </c:numRef>
          </c:val>
        </c:ser>
        <c:dLbls>
          <c:showLegendKey val="0"/>
          <c:showVal val="0"/>
          <c:showCatName val="0"/>
          <c:showSerName val="0"/>
          <c:showPercent val="0"/>
          <c:showBubbleSize val="0"/>
        </c:dLbls>
        <c:gapWidth val="150"/>
        <c:axId val="93232512"/>
        <c:axId val="93254784"/>
      </c:barChart>
      <c:catAx>
        <c:axId val="932325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54784"/>
        <c:crosses val="autoZero"/>
        <c:auto val="1"/>
        <c:lblAlgn val="ctr"/>
        <c:lblOffset val="100"/>
        <c:noMultiLvlLbl val="0"/>
      </c:catAx>
      <c:valAx>
        <c:axId val="932547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3251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
          <c:y val="0.06575"/>
          <c:w val="0.84625"/>
          <c:h val="0.557"/>
        </c:manualLayout>
      </c:layout>
      <c:barChart>
        <c:barDir val="col"/>
        <c:grouping val="clustered"/>
        <c:varyColors val="0"/>
        <c:ser>
          <c:idx val="0"/>
          <c:order val="0"/>
          <c:tx>
            <c:strRef>
              <c:f>[2]F产品成本分析表!$B$14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[2]F产品成本分析表!$C$14:$N$14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[2]F产品成本分析表!$B$15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[2]F产品成本分析表!$C$15:$N$15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[2]F产品成本分析表!$B$16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[2]F产品成本分析表!$C$16:$N$16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[2]F产品成本分析表!$B$17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[2]F产品成本分析表!$C$17:$N$17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3174400"/>
        <c:axId val="93184384"/>
      </c:barChart>
      <c:catAx>
        <c:axId val="931744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184384"/>
        <c:crosses val="autoZero"/>
        <c:auto val="1"/>
        <c:lblAlgn val="ctr"/>
        <c:lblOffset val="100"/>
        <c:noMultiLvlLbl val="0"/>
      </c:catAx>
      <c:valAx>
        <c:axId val="931843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1744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13975"/>
          <c:y val="0.8155"/>
          <c:w val="0.45426642111725"/>
          <c:h val="0.17325800376647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45000000000001"/>
          <c:y val="0.09025"/>
          <c:w val="0.901"/>
          <c:h val="0.6205"/>
        </c:manualLayout>
      </c:layout>
      <c:lineChart>
        <c:grouping val="standard"/>
        <c:varyColors val="0"/>
        <c:ser>
          <c:idx val="0"/>
          <c:order val="0"/>
          <c:tx>
            <c:strRef>
              <c:f>[2]F产品成本分析表!$B$11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[2]F产品成本分析表!$C$11:$N$11</c:f>
              <c:numCache>
                <c:formatCode>General</c:formatCode>
                <c:ptCount val="12"/>
              </c:numCache>
            </c:numRef>
          </c:val>
          <c:smooth val="0"/>
        </c:ser>
        <c:ser>
          <c:idx val="1"/>
          <c:order val="1"/>
          <c:tx>
            <c:strRef>
              <c:f>[2]F产品成本分析表!$B$12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[2]F产品成本分析表!$C$12:$N$12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93286784"/>
        <c:axId val="93288320"/>
      </c:lineChart>
      <c:catAx>
        <c:axId val="932867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88320"/>
        <c:crosses val="autoZero"/>
        <c:auto val="1"/>
        <c:lblAlgn val="ctr"/>
        <c:lblOffset val="100"/>
        <c:noMultiLvlLbl val="0"/>
      </c:catAx>
      <c:valAx>
        <c:axId val="932883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28678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7075"/>
          <c:y val="0.86775"/>
          <c:w val="0.505"/>
          <c:h val="0.11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397333333333333"/>
          <c:y val="0.527262467191601"/>
        </c:manualLayout>
      </c:layout>
      <c:overlay val="0"/>
      <c:spPr>
        <a:noFill/>
        <a:ln w="9525">
          <a:noFill/>
        </a:ln>
        <a:effectLst/>
      </c:spPr>
    </c:title>
    <c:autoTitleDeleted val="0"/>
    <c:plotArea>
      <c:layout>
        <c:manualLayout>
          <c:layoutTarget val="inner"/>
          <c:xMode val="edge"/>
          <c:yMode val="edge"/>
          <c:x val="0.048"/>
          <c:y val="0.388"/>
          <c:w val="0.79325"/>
          <c:h val="0.35825"/>
        </c:manualLayout>
      </c:layout>
      <c:lineChart>
        <c:grouping val="standard"/>
        <c:varyColors val="0"/>
        <c:ser>
          <c:idx val="0"/>
          <c:order val="0"/>
          <c:tx>
            <c:strRef>
              <c:f>目录!#REF!</c:f>
              <c:strCache>
                <c:ptCount val="1"/>
                <c:pt idx="0">
                  <c:v/>
                </c:pt>
              </c:strCache>
            </c:strRef>
          </c:tx>
          <c:spPr>
            <a:ln w="12700" cap="rnd" cmpd="sng" algn="ctr">
              <a:solidFill>
                <a:srgbClr val="000080"/>
              </a:solidFill>
              <a:prstDash val="solid"/>
              <a:round/>
            </a:ln>
            <a:effectLst/>
          </c:spPr>
          <c:marker>
            <c:symbol val="none"/>
          </c:marker>
          <c:dLbls>
            <c:delete val="1"/>
          </c:dLbls>
          <c:val>
            <c:numRef>
              <c:f>目录!#REF!</c:f>
              <c:numCache>
                <c:formatCode>General</c:formatCode>
                <c:ptCount val="1"/>
                <c:pt idx="0">
                  <c:v>1</c:v>
                </c:pt>
              </c:numCache>
            </c:numRef>
          </c:val>
          <c:smooth val="0"/>
        </c:ser>
        <c:ser>
          <c:idx val="1"/>
          <c:order val="1"/>
          <c:tx>
            <c:strRef>
              <c:f>目录!#REF!</c:f>
              <c:strCache>
                <c:ptCount val="1"/>
                <c:pt idx="0">
                  <c:v/>
                </c:pt>
              </c:strCache>
            </c:strRef>
          </c:tx>
          <c:spPr>
            <a:ln w="12700" cap="rnd" cmpd="sng" algn="ctr">
              <a:solidFill>
                <a:srgbClr val="FF00FF"/>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4094336"/>
        <c:axId val="84096128"/>
      </c:lineChart>
      <c:catAx>
        <c:axId val="840943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096128"/>
        <c:crosses val="autoZero"/>
        <c:auto val="1"/>
        <c:lblAlgn val="ctr"/>
        <c:lblOffset val="100"/>
        <c:noMultiLvlLbl val="0"/>
      </c:catAx>
      <c:valAx>
        <c:axId val="840961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09433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6825"/>
          <c:w val="0.89975"/>
          <c:h val="0.59"/>
        </c:manualLayout>
      </c:layout>
      <c:lineChart>
        <c:grouping val="standard"/>
        <c:varyColors val="0"/>
        <c:ser>
          <c:idx val="0"/>
          <c:order val="0"/>
          <c:tx>
            <c:strRef>
              <c:f>[2]F产品成本分析表!$B$5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[2]F产品成本分析表!$C$5:$N$5</c:f>
              <c:numCache>
                <c:formatCode>General</c:formatCode>
                <c:ptCount val="12"/>
              </c:numCache>
            </c:numRef>
          </c:val>
          <c:smooth val="0"/>
        </c:ser>
        <c:ser>
          <c:idx val="1"/>
          <c:order val="1"/>
          <c:tx>
            <c:strRef>
              <c:f>[2]F产品成本分析表!$B$6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[2]F产品成本分析表!$C$6:$N$6</c:f>
              <c:numCache>
                <c:formatCode>General</c:formatCode>
                <c:ptCount val="12"/>
              </c:numCache>
            </c:numRef>
          </c:val>
          <c:smooth val="0"/>
        </c:ser>
        <c:ser>
          <c:idx val="2"/>
          <c:order val="2"/>
          <c:tx>
            <c:strRef>
              <c:f>[2]F产品成本分析表!$B$7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[2]F产品成本分析表!$C$7:$N$7</c:f>
              <c:numCache>
                <c:formatCode>General</c:formatCode>
                <c:ptCount val="12"/>
              </c:numCache>
            </c:numRef>
          </c:val>
          <c:smooth val="0"/>
        </c:ser>
        <c:ser>
          <c:idx val="3"/>
          <c:order val="3"/>
          <c:tx>
            <c:strRef>
              <c:f>[2]F产品成本分析表!$B$8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[2]F产品成本分析表!$C$8:$N$8</c:f>
              <c:numCache>
                <c:formatCode>General</c:formatCode>
                <c:ptCount val="12"/>
              </c:numCache>
            </c:numRef>
          </c:val>
          <c:smooth val="0"/>
        </c:ser>
        <c:ser>
          <c:idx val="4"/>
          <c:order val="4"/>
          <c:tx>
            <c:strRef>
              <c:f>[2]F产品成本分析表!$B$11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[2]F产品成本分析表!$C$11:$N$11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93483392"/>
        <c:axId val="93484928"/>
      </c:lineChart>
      <c:catAx>
        <c:axId val="934833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484928"/>
        <c:crosses val="autoZero"/>
        <c:auto val="1"/>
        <c:lblAlgn val="ctr"/>
        <c:lblOffset val="100"/>
        <c:noMultiLvlLbl val="0"/>
      </c:catAx>
      <c:valAx>
        <c:axId val="934849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48339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25"/>
          <c:y val="0.37325"/>
          <c:w val="0.766"/>
          <c:h val="0.209"/>
        </c:manualLayout>
      </c:layout>
      <c:lineChart>
        <c:grouping val="standard"/>
        <c:varyColors val="0"/>
        <c:ser>
          <c:idx val="0"/>
          <c:order val="0"/>
          <c:tx>
            <c:strRef>
              <c:f>税负监控!#REF!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税负监控!#REF!</c:f>
              <c:numCache>
                <c:formatCode>General</c:formatCode>
                <c:ptCount val="1"/>
                <c:pt idx="0">
                  <c:v>1</c:v>
                </c:pt>
              </c:numCache>
            </c:numRef>
          </c:val>
          <c:smooth val="0"/>
        </c:ser>
        <c:ser>
          <c:idx val="1"/>
          <c:order val="1"/>
          <c:tx>
            <c:strRef>
              <c:f>税负监控!#REF!</c:f>
              <c:strCache>
                <c:ptCount val="1"/>
                <c:pt idx="0">
                  <c:v/>
                </c:pt>
              </c:strCache>
            </c:strRef>
          </c:tx>
          <c:spPr>
            <a:ln w="12700" cap="rnd" cmpd="sng" algn="ctr">
              <a:solidFill>
                <a:srgbClr val="FF00FF"/>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444352"/>
        <c:axId val="93446144"/>
      </c:lineChart>
      <c:catAx>
        <c:axId val="9344435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446144"/>
        <c:crosses val="autoZero"/>
        <c:auto val="1"/>
        <c:lblAlgn val="ctr"/>
        <c:lblOffset val="100"/>
        <c:noMultiLvlLbl val="0"/>
      </c:catAx>
      <c:valAx>
        <c:axId val="9344614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44435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543808"/>
        <c:axId val="93545600"/>
      </c:lineChart>
      <c:catAx>
        <c:axId val="935438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545600"/>
        <c:crosses val="autoZero"/>
        <c:auto val="1"/>
        <c:lblAlgn val="ctr"/>
        <c:lblOffset val="100"/>
        <c:noMultiLvlLbl val="0"/>
      </c:catAx>
      <c:valAx>
        <c:axId val="935456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54380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075"/>
          <c:h val="0.3582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ser>
          <c:idx val="1"/>
          <c:order val="1"/>
          <c:tx>
            <c:strRef>
              <c:f>税负监控!#REF!</c:f>
              <c:strCache>
                <c:ptCount val="1"/>
                <c:pt idx="0">
                  <c:v/>
                </c:pt>
              </c:strCache>
            </c:strRef>
          </c:tx>
          <c:spPr>
            <a:ln w="12700" cap="rnd" cmpd="sng" algn="ctr">
              <a:solidFill>
                <a:srgbClr val="FF00FF"/>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586944"/>
        <c:axId val="93588480"/>
      </c:lineChart>
      <c:catAx>
        <c:axId val="935869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588480"/>
        <c:crosses val="autoZero"/>
        <c:auto val="1"/>
        <c:lblAlgn val="ctr"/>
        <c:lblOffset val="100"/>
        <c:noMultiLvlLbl val="0"/>
      </c:catAx>
      <c:valAx>
        <c:axId val="935884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58694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645440"/>
        <c:axId val="93647232"/>
      </c:lineChart>
      <c:catAx>
        <c:axId val="936454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647232"/>
        <c:crosses val="autoZero"/>
        <c:auto val="1"/>
        <c:lblAlgn val="ctr"/>
        <c:lblOffset val="100"/>
        <c:noMultiLvlLbl val="0"/>
      </c:catAx>
      <c:valAx>
        <c:axId val="936472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64544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075"/>
          <c:h val="0.388"/>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ser>
          <c:idx val="1"/>
          <c:order val="1"/>
          <c:tx>
            <c:strRef>
              <c:f>税负监控!#REF!</c:f>
              <c:strCache>
                <c:ptCount val="1"/>
                <c:pt idx="0">
                  <c:v/>
                </c:pt>
              </c:strCache>
            </c:strRef>
          </c:tx>
          <c:spPr>
            <a:ln w="12700" cap="rnd" cmpd="sng" algn="ctr">
              <a:solidFill>
                <a:srgbClr val="FF00FF"/>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750016"/>
        <c:axId val="93751552"/>
      </c:lineChart>
      <c:catAx>
        <c:axId val="93750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751552"/>
        <c:crosses val="autoZero"/>
        <c:auto val="1"/>
        <c:lblAlgn val="ctr"/>
        <c:lblOffset val="100"/>
        <c:noMultiLvlLbl val="0"/>
      </c:catAx>
      <c:valAx>
        <c:axId val="937515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75001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931392"/>
        <c:axId val="93932928"/>
      </c:lineChart>
      <c:catAx>
        <c:axId val="939313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932928"/>
        <c:crosses val="autoZero"/>
        <c:auto val="1"/>
        <c:lblAlgn val="ctr"/>
        <c:lblOffset val="100"/>
        <c:noMultiLvlLbl val="0"/>
      </c:catAx>
      <c:valAx>
        <c:axId val="939329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931392"/>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25"/>
          <c:y val="0.35825"/>
          <c:w val="0.773750000000001"/>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3961216"/>
        <c:axId val="93967104"/>
      </c:lineChart>
      <c:catAx>
        <c:axId val="939612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967104"/>
        <c:crosses val="autoZero"/>
        <c:auto val="1"/>
        <c:lblAlgn val="ctr"/>
        <c:lblOffset val="100"/>
        <c:noMultiLvlLbl val="0"/>
      </c:catAx>
      <c:valAx>
        <c:axId val="939671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396121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税负监控!#REF!</c:f>
              <c:numCache>
                <c:ptCount val="0"/>
              </c:numCache>
            </c:numRef>
          </c:cat>
          <c:val>
            <c:numRef>
              <c:f>税负监控!#REF!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
          <c:y val="0.1195"/>
          <c:w val="0.9165"/>
          <c:h val="0.104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ser>
          <c:idx val="1"/>
          <c:order val="1"/>
          <c:tx>
            <c:strRef>
              <c:f>税负监控!#REF!</c:f>
              <c:strCache>
                <c:ptCount val="1"/>
                <c:pt idx="0">
                  <c:v/>
                </c:pt>
              </c:strCache>
            </c:strRef>
          </c:tx>
          <c:spPr>
            <a:ln w="12700" cap="rnd" cmpd="sng" algn="ctr">
              <a:solidFill>
                <a:srgbClr val="FF00FF"/>
              </a:solidFill>
              <a:prstDash val="solid"/>
              <a:round/>
            </a:ln>
            <a:effectLst/>
          </c:spPr>
          <c:marker>
            <c:symbol val="none"/>
          </c:marker>
          <c:dLbls>
            <c:delete val="1"/>
          </c:dLbls>
          <c:val>
            <c:numRef>
              <c:f>税负监控!#REF!</c:f>
              <c:numCache>
                <c:formatCode>General</c:formatCode>
                <c:ptCount val="1"/>
                <c:pt idx="0">
                  <c:v>1</c:v>
                </c:pt>
              </c:numCache>
            </c:numRef>
          </c:val>
          <c:smooth val="0"/>
        </c:ser>
        <c:ser>
          <c:idx val="2"/>
          <c:order val="2"/>
          <c:tx>
            <c:strRef>
              <c:f>税负监控!#REF!</c:f>
              <c:strCache>
                <c:ptCount val="1"/>
                <c:pt idx="0">
                  <c:v/>
                </c:pt>
              </c:strCache>
            </c:strRef>
          </c:tx>
          <c:spPr>
            <a:ln w="12700" cap="rnd" cmpd="sng" algn="ctr">
              <a:solidFill>
                <a:srgbClr val="FFFF00"/>
              </a:solidFill>
              <a:prstDash val="solid"/>
              <a:round/>
            </a:ln>
            <a:effectLst/>
          </c:spPr>
          <c:marker>
            <c:symbol val="none"/>
          </c:marker>
          <c:dLbls>
            <c:delete val="1"/>
          </c:dLbls>
          <c:val>
            <c:numRef>
              <c:f>税负监控!#REF!</c:f>
              <c:numCache>
                <c:formatCode>General</c:formatCode>
                <c:ptCount val="1"/>
                <c:pt idx="0">
                  <c:v>1</c:v>
                </c:pt>
              </c:numCache>
            </c:numRef>
          </c:val>
          <c:smooth val="0"/>
        </c:ser>
        <c:ser>
          <c:idx val="3"/>
          <c:order val="3"/>
          <c:tx>
            <c:strRef>
              <c:f>税负监控!#REF!</c:f>
              <c:strCache>
                <c:ptCount val="1"/>
                <c:pt idx="0">
                  <c:v/>
                </c:pt>
              </c:strCache>
            </c:strRef>
          </c:tx>
          <c:spPr>
            <a:ln w="12700" cap="rnd" cmpd="sng" algn="ctr">
              <a:solidFill>
                <a:srgbClr val="00FFFF"/>
              </a:solidFill>
              <a:prstDash val="solid"/>
              <a:round/>
            </a:ln>
            <a:effectLst/>
          </c:spPr>
          <c:marker>
            <c:symbol val="none"/>
          </c:marker>
          <c:dLbls>
            <c:delete val="1"/>
          </c:dLbls>
          <c:val>
            <c:numRef>
              <c:f>税负监控!#REF!</c:f>
              <c:numCache>
                <c:formatCode>General</c:formatCode>
                <c:ptCount val="1"/>
                <c:pt idx="0">
                  <c:v>1</c:v>
                </c:pt>
              </c:numCache>
            </c:numRef>
          </c:val>
          <c:smooth val="0"/>
        </c:ser>
        <c:ser>
          <c:idx val="4"/>
          <c:order val="4"/>
          <c:tx>
            <c:strRef>
              <c:f>税负监控!#REF!</c:f>
              <c:strCache>
                <c:ptCount val="1"/>
                <c:pt idx="0">
                  <c:v/>
                </c:pt>
              </c:strCache>
            </c:strRef>
          </c:tx>
          <c:spPr>
            <a:ln w="12700" cap="rnd" cmpd="sng" algn="ctr">
              <a:solidFill>
                <a:srgbClr val="8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049792"/>
        <c:axId val="94051328"/>
      </c:lineChart>
      <c:catAx>
        <c:axId val="940497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051328"/>
        <c:crosses val="autoZero"/>
        <c:auto val="1"/>
        <c:lblAlgn val="ctr"/>
        <c:lblOffset val="100"/>
        <c:noMultiLvlLbl val="0"/>
      </c:catAx>
      <c:valAx>
        <c:axId val="940513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04979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25731537975292"/>
          <c:y val="0.484262467191601"/>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目录!#REF!</c:f>
              <c:strCache>
                <c:ptCount val="1"/>
                <c:pt idx="0">
                  <c:v/>
                </c:pt>
              </c:strCache>
            </c:strRef>
          </c:tx>
          <c:spPr>
            <a:ln w="12700" cap="rnd" cmpd="sng" algn="ctr">
              <a:solidFill>
                <a:srgbClr val="000080"/>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4140800"/>
        <c:axId val="84142336"/>
      </c:lineChart>
      <c:catAx>
        <c:axId val="841408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142336"/>
        <c:crosses val="autoZero"/>
        <c:auto val="1"/>
        <c:lblAlgn val="ctr"/>
        <c:lblOffset val="100"/>
        <c:noMultiLvlLbl val="0"/>
      </c:catAx>
      <c:valAx>
        <c:axId val="841423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14080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税负监控!#REF!</c:f>
              <c:strCache>
                <c:ptCount val="1"/>
                <c:pt idx="0">
                  <c:v/>
                </c:pt>
              </c:strCache>
            </c:strRef>
          </c:tx>
          <c:spPr>
            <a:ln w="12700" cap="rnd" cmpd="sng" algn="ctr">
              <a:solidFill>
                <a:srgbClr val="000080"/>
              </a:solidFill>
              <a:prstDash val="solid"/>
              <a:round/>
            </a:ln>
            <a:effectLst/>
          </c:spPr>
          <c:marker>
            <c:symbol val="none"/>
          </c:marker>
          <c:dLbls>
            <c:delete val="1"/>
          </c:dLbls>
          <c:val>
            <c:numRef>
              <c:f>税负监控!#REF!</c:f>
              <c:numCache>
                <c:formatCode>General</c:formatCode>
                <c:ptCount val="1"/>
                <c:pt idx="0">
                  <c:v>1</c:v>
                </c:pt>
              </c:numCache>
            </c:numRef>
          </c:val>
          <c:smooth val="0"/>
        </c:ser>
        <c:ser>
          <c:idx val="1"/>
          <c:order val="1"/>
          <c:tx>
            <c:strRef>
              <c:f>税负监控!#REF!</c:f>
              <c:strCache>
                <c:ptCount val="1"/>
                <c:pt idx="0">
                  <c:v/>
                </c:pt>
              </c:strCache>
            </c:strRef>
          </c:tx>
          <c:spPr>
            <a:ln w="12700" cap="rnd" cmpd="sng" algn="ctr">
              <a:solidFill>
                <a:srgbClr val="FF00FF"/>
              </a:solidFill>
              <a:prstDash val="solid"/>
              <a:round/>
            </a:ln>
            <a:effectLst/>
          </c:spPr>
          <c:marker>
            <c:symbol val="none"/>
          </c:marker>
          <c:dLbls>
            <c:delete val="1"/>
          </c:dLbls>
          <c:val>
            <c:numRef>
              <c:f>税负监控!#REF!</c:f>
              <c:numCache>
                <c:formatCode>General</c:formatCode>
                <c:ptCount val="1"/>
                <c:pt idx="0">
                  <c:v>1</c:v>
                </c:pt>
              </c:numCache>
            </c:numRef>
          </c:val>
          <c:smooth val="0"/>
        </c:ser>
        <c:ser>
          <c:idx val="2"/>
          <c:order val="2"/>
          <c:tx>
            <c:strRef>
              <c:f>税负监控!#REF!</c:f>
              <c:strCache>
                <c:ptCount val="1"/>
                <c:pt idx="0">
                  <c:v/>
                </c:pt>
              </c:strCache>
            </c:strRef>
          </c:tx>
          <c:spPr>
            <a:ln w="12700" cap="rnd" cmpd="sng" algn="ctr">
              <a:solidFill>
                <a:srgbClr val="FFFF00"/>
              </a:solidFill>
              <a:prstDash val="solid"/>
              <a:round/>
            </a:ln>
            <a:effectLst/>
          </c:spPr>
          <c:marker>
            <c:symbol val="none"/>
          </c:marker>
          <c:dLbls>
            <c:delete val="1"/>
          </c:dLbls>
          <c:val>
            <c:numRef>
              <c:f>税负监控!#REF!</c:f>
              <c:numCache>
                <c:formatCode>General</c:formatCode>
                <c:ptCount val="1"/>
                <c:pt idx="0">
                  <c:v>1</c:v>
                </c:pt>
              </c:numCache>
            </c:numRef>
          </c:val>
          <c:smooth val="0"/>
        </c:ser>
        <c:ser>
          <c:idx val="3"/>
          <c:order val="3"/>
          <c:tx>
            <c:strRef>
              <c:f>税负监控!#REF!</c:f>
              <c:strCache>
                <c:ptCount val="1"/>
                <c:pt idx="0">
                  <c:v/>
                </c:pt>
              </c:strCache>
            </c:strRef>
          </c:tx>
          <c:spPr>
            <a:ln w="12700" cap="rnd" cmpd="sng" algn="ctr">
              <a:solidFill>
                <a:srgbClr val="00FFFF"/>
              </a:solidFill>
              <a:prstDash val="solid"/>
              <a:round/>
            </a:ln>
            <a:effectLst/>
          </c:spPr>
          <c:marker>
            <c:symbol val="none"/>
          </c:marker>
          <c:dLbls>
            <c:delete val="1"/>
          </c:dLbls>
          <c:val>
            <c:numRef>
              <c:f>税负监控!#REF!</c:f>
              <c:numCache>
                <c:formatCode>General</c:formatCode>
                <c:ptCount val="1"/>
                <c:pt idx="0">
                  <c:v>1</c:v>
                </c:pt>
              </c:numCache>
            </c:numRef>
          </c:val>
          <c:smooth val="0"/>
        </c:ser>
        <c:ser>
          <c:idx val="4"/>
          <c:order val="4"/>
          <c:tx>
            <c:strRef>
              <c:f>税负监控!#REF!</c:f>
              <c:strCache>
                <c:ptCount val="1"/>
                <c:pt idx="0">
                  <c:v/>
                </c:pt>
              </c:strCache>
            </c:strRef>
          </c:tx>
          <c:spPr>
            <a:ln w="12700" cap="rnd" cmpd="sng" algn="ctr">
              <a:solidFill>
                <a:srgbClr val="800080"/>
              </a:solidFill>
              <a:prstDash val="solid"/>
              <a:round/>
            </a:ln>
            <a:effectLst/>
          </c:spPr>
          <c:marker>
            <c:symbol val="none"/>
          </c:marker>
          <c:dLbls>
            <c:delete val="1"/>
          </c:dLbls>
          <c:val>
            <c:numRef>
              <c:f>税负监控!#REF!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115328"/>
        <c:axId val="94116864"/>
      </c:lineChart>
      <c:catAx>
        <c:axId val="941153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16864"/>
        <c:crosses val="autoZero"/>
        <c:auto val="1"/>
        <c:lblAlgn val="ctr"/>
        <c:lblOffset val="100"/>
        <c:noMultiLvlLbl val="0"/>
      </c:catAx>
      <c:valAx>
        <c:axId val="941168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1532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25"/>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133248"/>
        <c:axId val="94139136"/>
      </c:barChart>
      <c:catAx>
        <c:axId val="941332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39136"/>
        <c:crosses val="autoZero"/>
        <c:auto val="1"/>
        <c:lblAlgn val="ctr"/>
        <c:lblOffset val="100"/>
        <c:noMultiLvlLbl val="0"/>
      </c:catAx>
      <c:valAx>
        <c:axId val="941391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3324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175"/>
          <c:y val="0.0895000000000001"/>
          <c:w val="0.9295"/>
          <c:h val="0.46275"/>
        </c:manualLayout>
      </c:layout>
      <c:barChart>
        <c:barDir val="col"/>
        <c:grouping val="clustered"/>
        <c:varyColors val="0"/>
        <c:ser>
          <c:idx val="0"/>
          <c:order val="0"/>
          <c:tx>
            <c:strRef>
              <c:f>税负监控!#REF!</c:f>
              <c:strCache>
                <c:ptCount val="1"/>
                <c:pt idx="0">
                  <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税负监控!#REF!</c:f>
              <c:strCache>
                <c:ptCount val="1"/>
                <c:pt idx="0">
                  <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2"/>
          <c:order val="2"/>
          <c:tx>
            <c:strRef>
              <c:f>税负监控!#REF!</c:f>
              <c:strCache>
                <c:ptCount val="1"/>
                <c:pt idx="0">
                  <c:v/>
                </c:pt>
              </c:strCache>
            </c:strRef>
          </c:tx>
          <c:spPr>
            <a:solidFill>
              <a:srgbClr val="FFFFCC"/>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3"/>
          <c:order val="3"/>
          <c:tx>
            <c:strRef>
              <c:f>税负监控!#REF!</c:f>
              <c:strCache>
                <c:ptCount val="1"/>
                <c:pt idx="0">
                  <c:v/>
                </c:pt>
              </c:strCache>
            </c:strRef>
          </c:tx>
          <c:spPr>
            <a:solidFill>
              <a:srgbClr val="CCFF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185728"/>
        <c:axId val="94199808"/>
      </c:barChart>
      <c:catAx>
        <c:axId val="941857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99808"/>
        <c:crosses val="autoZero"/>
        <c:auto val="1"/>
        <c:lblAlgn val="ctr"/>
        <c:lblOffset val="100"/>
        <c:noMultiLvlLbl val="0"/>
      </c:catAx>
      <c:valAx>
        <c:axId val="941998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18572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175"/>
          <c:y val="0.0895000000000001"/>
          <c:w val="0.91375"/>
          <c:h val="0.403"/>
        </c:manualLayout>
      </c:layout>
      <c:barChart>
        <c:barDir val="col"/>
        <c:grouping val="clustered"/>
        <c:varyColors val="0"/>
        <c:ser>
          <c:idx val="0"/>
          <c:order val="0"/>
          <c:tx>
            <c:strRef>
              <c:f>税负监控!#REF!</c:f>
              <c:strCache>
                <c:ptCount val="1"/>
                <c:pt idx="0">
                  <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税负监控!#REF!</c:f>
              <c:strCache>
                <c:ptCount val="1"/>
                <c:pt idx="0">
                  <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2"/>
          <c:order val="2"/>
          <c:tx>
            <c:strRef>
              <c:f>税负监控!#REF!</c:f>
              <c:strCache>
                <c:ptCount val="1"/>
                <c:pt idx="0">
                  <c:v/>
                </c:pt>
              </c:strCache>
            </c:strRef>
          </c:tx>
          <c:spPr>
            <a:solidFill>
              <a:srgbClr val="FFFFCC"/>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3"/>
          <c:order val="3"/>
          <c:tx>
            <c:strRef>
              <c:f>税负监控!#REF!</c:f>
              <c:strCache>
                <c:ptCount val="1"/>
                <c:pt idx="0">
                  <c:v/>
                </c:pt>
              </c:strCache>
            </c:strRef>
          </c:tx>
          <c:spPr>
            <a:solidFill>
              <a:srgbClr val="CCFF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238208"/>
        <c:axId val="94239744"/>
      </c:barChart>
      <c:catAx>
        <c:axId val="942382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239744"/>
        <c:crosses val="autoZero"/>
        <c:auto val="1"/>
        <c:lblAlgn val="ctr"/>
        <c:lblOffset val="100"/>
        <c:noMultiLvlLbl val="0"/>
      </c:catAx>
      <c:valAx>
        <c:axId val="9423974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23820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25"/>
          <c:y val="0.0895000000000001"/>
          <c:w val="0.9497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272512"/>
        <c:axId val="94286592"/>
      </c:barChart>
      <c:catAx>
        <c:axId val="942725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286592"/>
        <c:crosses val="autoZero"/>
        <c:auto val="1"/>
        <c:lblAlgn val="ctr"/>
        <c:lblOffset val="100"/>
        <c:noMultiLvlLbl val="0"/>
      </c:catAx>
      <c:valAx>
        <c:axId val="9428659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27251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311168"/>
        <c:axId val="94312704"/>
      </c:barChart>
      <c:catAx>
        <c:axId val="943111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12704"/>
        <c:crosses val="autoZero"/>
        <c:auto val="1"/>
        <c:lblAlgn val="ctr"/>
        <c:lblOffset val="100"/>
        <c:noMultiLvlLbl val="0"/>
      </c:catAx>
      <c:valAx>
        <c:axId val="943127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1116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25"/>
          <c:y val="0.0895000000000001"/>
          <c:w val="0.9497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329088"/>
        <c:axId val="94355456"/>
      </c:barChart>
      <c:catAx>
        <c:axId val="943290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55456"/>
        <c:crosses val="autoZero"/>
        <c:auto val="1"/>
        <c:lblAlgn val="ctr"/>
        <c:lblOffset val="100"/>
        <c:noMultiLvlLbl val="0"/>
      </c:catAx>
      <c:valAx>
        <c:axId val="943554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2908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税负监控!#REF!</c:f>
              <c:numCache>
                <c:ptCount val="0"/>
              </c:numCache>
            </c:numRef>
          </c:cat>
          <c:val>
            <c:numRef>
              <c:f>税负监控!#REF!</c:f>
              <c:numCache>
                <c:formatCode>General</c:formatCode>
                <c:ptCount val="1"/>
                <c:pt idx="0">
                  <c:v>1</c:v>
                </c:pt>
              </c:numCache>
            </c:numRef>
          </c:val>
        </c:ser>
        <c:dLbls>
          <c:showLegendKey val="0"/>
          <c:showVal val="0"/>
          <c:showCatName val="0"/>
          <c:showSerName val="0"/>
          <c:showPercent val="0"/>
          <c:showBubbleSize val="0"/>
        </c:dLbls>
        <c:gapWidth val="150"/>
        <c:axId val="94461952"/>
        <c:axId val="94463488"/>
      </c:barChart>
      <c:catAx>
        <c:axId val="9446195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463488"/>
        <c:crosses val="autoZero"/>
        <c:auto val="1"/>
        <c:lblAlgn val="ctr"/>
        <c:lblOffset val="100"/>
        <c:noMultiLvlLbl val="0"/>
      </c:catAx>
      <c:valAx>
        <c:axId val="9446348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46195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
          <c:y val="0.06575"/>
          <c:w val="0.8445"/>
          <c:h val="0.557"/>
        </c:manualLayout>
      </c:layout>
      <c:barChart>
        <c:barDir val="col"/>
        <c:grouping val="clustered"/>
        <c:varyColors val="0"/>
        <c:ser>
          <c:idx val="0"/>
          <c:order val="0"/>
          <c:tx>
            <c:strRef>
              <c:f>[2]G产品成本分析表!$B$14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[2]G产品成本分析表!$C$14:$N$14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[2]G产品成本分析表!$B$15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[2]G产品成本分析表!$C$15:$N$15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[2]G产品成本分析表!$B$16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[2]G产品成本分析表!$C$16:$N$16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[2]G产品成本分析表!$B$17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[2]G产品成本分析表!$C$17:$N$17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94383104"/>
        <c:axId val="94393088"/>
      </c:barChart>
      <c:catAx>
        <c:axId val="943831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93088"/>
        <c:crosses val="autoZero"/>
        <c:auto val="1"/>
        <c:lblAlgn val="ctr"/>
        <c:lblOffset val="100"/>
        <c:noMultiLvlLbl val="0"/>
      </c:catAx>
      <c:valAx>
        <c:axId val="9439308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38310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15825"/>
          <c:y val="0.8155"/>
          <c:w val="0.459342023587834"/>
          <c:h val="0.17325800376647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05000000000001"/>
          <c:y val="0.09025"/>
          <c:w val="0.90525"/>
          <c:h val="0.6205"/>
        </c:manualLayout>
      </c:layout>
      <c:lineChart>
        <c:grouping val="standard"/>
        <c:varyColors val="0"/>
        <c:ser>
          <c:idx val="0"/>
          <c:order val="0"/>
          <c:tx>
            <c:strRef>
              <c:f>[2]G产品成本分析表!$B$11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[2]G产品成本分析表!$C$11:$N$11</c:f>
              <c:numCache>
                <c:formatCode>General</c:formatCode>
                <c:ptCount val="12"/>
              </c:numCache>
            </c:numRef>
          </c:val>
          <c:smooth val="0"/>
        </c:ser>
        <c:ser>
          <c:idx val="1"/>
          <c:order val="1"/>
          <c:tx>
            <c:strRef>
              <c:f>[2]G产品成本分析表!$B$12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[2]G产品成本分析表!$C$12:$N$12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94417664"/>
        <c:axId val="94419200"/>
      </c:lineChart>
      <c:catAx>
        <c:axId val="944176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419200"/>
        <c:crosses val="autoZero"/>
        <c:auto val="1"/>
        <c:lblAlgn val="ctr"/>
        <c:lblOffset val="100"/>
        <c:noMultiLvlLbl val="0"/>
      </c:catAx>
      <c:valAx>
        <c:axId val="944192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41766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6"/>
          <c:y val="0.8675"/>
          <c:w val="0.48375"/>
          <c:h val="0.11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397333333333333"/>
          <c:y val="0.527262467191601"/>
        </c:manualLayout>
      </c:layout>
      <c:overlay val="0"/>
      <c:spPr>
        <a:noFill/>
        <a:ln w="9525">
          <a:noFill/>
        </a:ln>
        <a:effectLst/>
      </c:spPr>
    </c:title>
    <c:autoTitleDeleted val="0"/>
    <c:plotArea>
      <c:layout>
        <c:manualLayout>
          <c:layoutTarget val="inner"/>
          <c:xMode val="edge"/>
          <c:yMode val="edge"/>
          <c:x val="0.048"/>
          <c:y val="0.35825"/>
          <c:w val="0.79325"/>
          <c:h val="0.388"/>
        </c:manualLayout>
      </c:layout>
      <c:lineChart>
        <c:grouping val="standard"/>
        <c:varyColors val="0"/>
        <c:ser>
          <c:idx val="0"/>
          <c:order val="0"/>
          <c:tx>
            <c:strRef>
              <c:f>目录!#REF!</c:f>
              <c:strCache>
                <c:ptCount val="1"/>
                <c:pt idx="0">
                  <c:v/>
                </c:pt>
              </c:strCache>
            </c:strRef>
          </c:tx>
          <c:spPr>
            <a:ln w="12700" cap="rnd" cmpd="sng" algn="ctr">
              <a:solidFill>
                <a:srgbClr val="000080"/>
              </a:solidFill>
              <a:prstDash val="solid"/>
              <a:round/>
            </a:ln>
            <a:effectLst/>
          </c:spPr>
          <c:marker>
            <c:symbol val="none"/>
          </c:marker>
          <c:dLbls>
            <c:delete val="1"/>
          </c:dLbls>
          <c:val>
            <c:numRef>
              <c:f>目录!#REF!</c:f>
              <c:numCache>
                <c:formatCode>General</c:formatCode>
                <c:ptCount val="1"/>
                <c:pt idx="0">
                  <c:v>1</c:v>
                </c:pt>
              </c:numCache>
            </c:numRef>
          </c:val>
          <c:smooth val="0"/>
        </c:ser>
        <c:ser>
          <c:idx val="1"/>
          <c:order val="1"/>
          <c:tx>
            <c:strRef>
              <c:f>目录!#REF!</c:f>
              <c:strCache>
                <c:ptCount val="1"/>
                <c:pt idx="0">
                  <c:v/>
                </c:pt>
              </c:strCache>
            </c:strRef>
          </c:tx>
          <c:spPr>
            <a:ln w="12700" cap="rnd" cmpd="sng" algn="ctr">
              <a:solidFill>
                <a:srgbClr val="FF00FF"/>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465728"/>
        <c:axId val="85471616"/>
      </c:lineChart>
      <c:catAx>
        <c:axId val="854657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471616"/>
        <c:crosses val="autoZero"/>
        <c:auto val="1"/>
        <c:lblAlgn val="ctr"/>
        <c:lblOffset val="100"/>
        <c:noMultiLvlLbl val="0"/>
      </c:catAx>
      <c:valAx>
        <c:axId val="8547161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46572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25"/>
          <c:y val="0.06825"/>
          <c:w val="0.89825"/>
          <c:h val="0.59"/>
        </c:manualLayout>
      </c:layout>
      <c:lineChart>
        <c:grouping val="standard"/>
        <c:varyColors val="0"/>
        <c:ser>
          <c:idx val="0"/>
          <c:order val="0"/>
          <c:tx>
            <c:strRef>
              <c:f>[2]G产品成本分析表!$B$5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[2]G产品成本分析表!$C$5:$N$5</c:f>
              <c:numCache>
                <c:formatCode>General</c:formatCode>
                <c:ptCount val="12"/>
              </c:numCache>
            </c:numRef>
          </c:val>
          <c:smooth val="0"/>
        </c:ser>
        <c:ser>
          <c:idx val="1"/>
          <c:order val="1"/>
          <c:tx>
            <c:strRef>
              <c:f>[2]G产品成本分析表!$B$6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[2]G产品成本分析表!$C$6:$N$6</c:f>
              <c:numCache>
                <c:formatCode>General</c:formatCode>
                <c:ptCount val="12"/>
              </c:numCache>
            </c:numRef>
          </c:val>
          <c:smooth val="0"/>
        </c:ser>
        <c:ser>
          <c:idx val="2"/>
          <c:order val="2"/>
          <c:tx>
            <c:strRef>
              <c:f>[2]G产品成本分析表!$B$7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[2]G产品成本分析表!$C$7:$N$7</c:f>
              <c:numCache>
                <c:formatCode>General</c:formatCode>
                <c:ptCount val="12"/>
              </c:numCache>
            </c:numRef>
          </c:val>
          <c:smooth val="0"/>
        </c:ser>
        <c:ser>
          <c:idx val="3"/>
          <c:order val="3"/>
          <c:tx>
            <c:strRef>
              <c:f>[2]G产品成本分析表!$B$8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[2]G产品成本分析表!$C$8:$N$8</c:f>
              <c:numCache>
                <c:formatCode>General</c:formatCode>
                <c:ptCount val="12"/>
              </c:numCache>
            </c:numRef>
          </c:val>
          <c:smooth val="0"/>
        </c:ser>
        <c:ser>
          <c:idx val="4"/>
          <c:order val="4"/>
          <c:tx>
            <c:strRef>
              <c:f>[2]G产品成本分析表!$B$11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[2]G产品成本分析表!$C$11:$N$11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94540544"/>
        <c:axId val="94542080"/>
      </c:lineChart>
      <c:catAx>
        <c:axId val="94540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542080"/>
        <c:crosses val="autoZero"/>
        <c:auto val="1"/>
        <c:lblAlgn val="ctr"/>
        <c:lblOffset val="100"/>
        <c:noMultiLvlLbl val="0"/>
      </c:catAx>
      <c:valAx>
        <c:axId val="945420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5405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775"/>
          <c:y val="0.37325"/>
          <c:w val="0.763"/>
          <c:h val="0.209"/>
        </c:manualLayout>
      </c:layout>
      <c:lineChart>
        <c:grouping val="standard"/>
        <c:varyColors val="0"/>
        <c:ser>
          <c:idx val="0"/>
          <c:order val="0"/>
          <c:tx>
            <c:strRef>
              <c:f>老杜邦!#REF!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老杜邦!#REF!</c:f>
              <c:numCache>
                <c:formatCode>General</c:formatCode>
                <c:ptCount val="1"/>
                <c:pt idx="0">
                  <c:v>1</c:v>
                </c:pt>
              </c:numCache>
            </c:numRef>
          </c:val>
          <c:smooth val="0"/>
        </c:ser>
        <c:ser>
          <c:idx val="1"/>
          <c:order val="1"/>
          <c:tx>
            <c:strRef>
              <c:f>老杜邦!#REF!</c:f>
              <c:strCache>
                <c:ptCount val="1"/>
                <c:pt idx="0">
                  <c:v/>
                </c:pt>
              </c:strCache>
            </c:strRef>
          </c:tx>
          <c:spPr>
            <a:ln w="12700" cap="rnd" cmpd="sng" algn="ctr">
              <a:solidFill>
                <a:srgbClr val="FF00FF"/>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694016"/>
        <c:axId val="94699904"/>
      </c:lineChart>
      <c:catAx>
        <c:axId val="94694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699904"/>
        <c:crosses val="autoZero"/>
        <c:auto val="1"/>
        <c:lblAlgn val="ctr"/>
        <c:lblOffset val="100"/>
        <c:noMultiLvlLbl val="0"/>
      </c:catAx>
      <c:valAx>
        <c:axId val="946999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69401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95000000000001"/>
          <c:y val="0.37325"/>
          <c:w val="0.80125"/>
          <c:h val="0.25375"/>
        </c:manualLayout>
      </c:layout>
      <c:lineChart>
        <c:grouping val="standard"/>
        <c:varyColors val="0"/>
        <c:ser>
          <c:idx val="0"/>
          <c:order val="0"/>
          <c:tx>
            <c:strRef>
              <c:f>老杜邦!#REF!</c:f>
              <c:strCache>
                <c:ptCount val="1"/>
                <c:pt idx="0">
                  <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724096"/>
        <c:axId val="94725632"/>
      </c:lineChart>
      <c:catAx>
        <c:axId val="947240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725632"/>
        <c:crosses val="autoZero"/>
        <c:auto val="1"/>
        <c:lblAlgn val="ctr"/>
        <c:lblOffset val="100"/>
        <c:noMultiLvlLbl val="0"/>
      </c:catAx>
      <c:valAx>
        <c:axId val="947256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72409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5125"/>
          <c:y val="0.388"/>
          <c:w val="0.7875"/>
          <c:h val="0.35825"/>
        </c:manualLayout>
      </c:layout>
      <c:lineChart>
        <c:grouping val="standard"/>
        <c:varyColors val="0"/>
        <c:ser>
          <c:idx val="0"/>
          <c:order val="0"/>
          <c:tx>
            <c:strRef>
              <c:f>老杜邦!#REF!</c:f>
              <c:strCache>
                <c:ptCount val="1"/>
                <c:pt idx="0">
                  <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ser>
          <c:idx val="1"/>
          <c:order val="1"/>
          <c:tx>
            <c:strRef>
              <c:f>老杜邦!#REF!</c:f>
              <c:strCache>
                <c:ptCount val="1"/>
                <c:pt idx="0">
                  <c:v/>
                </c:pt>
              </c:strCache>
            </c:strRef>
          </c:tx>
          <c:spPr>
            <a:ln w="12700" cap="rnd" cmpd="sng" algn="ctr">
              <a:solidFill>
                <a:srgbClr val="FF00FF"/>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840704"/>
        <c:axId val="94842240"/>
      </c:lineChart>
      <c:catAx>
        <c:axId val="948407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42240"/>
        <c:crosses val="autoZero"/>
        <c:auto val="1"/>
        <c:lblAlgn val="ctr"/>
        <c:lblOffset val="100"/>
        <c:noMultiLvlLbl val="0"/>
      </c:catAx>
      <c:valAx>
        <c:axId val="948422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4070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14"/>
          <c:y val="0.26875"/>
          <c:w val="0.83475"/>
          <c:h val="0.46275"/>
        </c:manualLayout>
      </c:layout>
      <c:lineChart>
        <c:grouping val="standard"/>
        <c:varyColors val="0"/>
        <c:ser>
          <c:idx val="0"/>
          <c:order val="0"/>
          <c:tx>
            <c:strRef>
              <c:f>老杜邦!#REF!</c:f>
              <c:strCache>
                <c:ptCount val="1"/>
                <c:pt idx="0">
                  <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862336"/>
        <c:axId val="94892800"/>
      </c:lineChart>
      <c:catAx>
        <c:axId val="948623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92800"/>
        <c:crosses val="autoZero"/>
        <c:auto val="1"/>
        <c:lblAlgn val="ctr"/>
        <c:lblOffset val="100"/>
        <c:noMultiLvlLbl val="0"/>
      </c:catAx>
      <c:valAx>
        <c:axId val="9489280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6233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5125"/>
          <c:y val="0.35825"/>
          <c:w val="0.7875"/>
          <c:h val="0.388"/>
        </c:manualLayout>
      </c:layout>
      <c:lineChart>
        <c:grouping val="standard"/>
        <c:varyColors val="0"/>
        <c:ser>
          <c:idx val="0"/>
          <c:order val="0"/>
          <c:tx>
            <c:strRef>
              <c:f>老杜邦!#REF!</c:f>
              <c:strCache>
                <c:ptCount val="1"/>
                <c:pt idx="0">
                  <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ser>
          <c:idx val="1"/>
          <c:order val="1"/>
          <c:tx>
            <c:strRef>
              <c:f>老杜邦!#REF!</c:f>
              <c:strCache>
                <c:ptCount val="1"/>
                <c:pt idx="0">
                  <c:v/>
                </c:pt>
              </c:strCache>
            </c:strRef>
          </c:tx>
          <c:spPr>
            <a:ln w="12700" cap="rnd" cmpd="sng" algn="ctr">
              <a:solidFill>
                <a:srgbClr val="FF00FF"/>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803072"/>
        <c:axId val="94804608"/>
      </c:lineChart>
      <c:catAx>
        <c:axId val="948030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04608"/>
        <c:crosses val="autoZero"/>
        <c:auto val="1"/>
        <c:lblAlgn val="ctr"/>
        <c:lblOffset val="100"/>
        <c:noMultiLvlLbl val="0"/>
      </c:catAx>
      <c:valAx>
        <c:axId val="948046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0307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11"/>
          <c:y val="0.25375"/>
          <c:w val="0.83775"/>
          <c:h val="0.4925"/>
        </c:manualLayout>
      </c:layout>
      <c:lineChart>
        <c:grouping val="standard"/>
        <c:varyColors val="0"/>
        <c:ser>
          <c:idx val="0"/>
          <c:order val="0"/>
          <c:tx>
            <c:strRef>
              <c:f>老杜邦!#REF!</c:f>
              <c:strCache>
                <c:ptCount val="1"/>
                <c:pt idx="0">
                  <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865664"/>
        <c:axId val="94904320"/>
      </c:lineChart>
      <c:catAx>
        <c:axId val="948656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904320"/>
        <c:crosses val="autoZero"/>
        <c:auto val="1"/>
        <c:lblAlgn val="ctr"/>
        <c:lblOffset val="100"/>
        <c:noMultiLvlLbl val="0"/>
      </c:catAx>
      <c:valAx>
        <c:axId val="949043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86566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925"/>
          <c:y val="0.35825"/>
          <c:w val="0.773750000000001"/>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老杜邦!#REF!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915968"/>
        <c:axId val="94921856"/>
      </c:lineChart>
      <c:catAx>
        <c:axId val="949159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921856"/>
        <c:crosses val="autoZero"/>
        <c:auto val="1"/>
        <c:lblAlgn val="ctr"/>
        <c:lblOffset val="100"/>
        <c:noMultiLvlLbl val="0"/>
      </c:catAx>
      <c:valAx>
        <c:axId val="949218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91596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1"/>
          <c:y val="0.1195"/>
          <c:w val="0.1007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Pt>
            <c:idx val="1"/>
            <c:bubble3D val="0"/>
            <c:spPr>
              <a:solidFill>
                <a:srgbClr val="993366"/>
              </a:solidFill>
              <a:ln w="3175">
                <a:solidFill>
                  <a:srgbClr val="000000">
                    <a:alpha val="100000"/>
                  </a:srgbClr>
                </a:solidFill>
                <a:prstDash val="solid"/>
              </a:ln>
              <a:effectLst/>
            </c:spPr>
          </c:dPt>
          <c:dPt>
            <c:idx val="2"/>
            <c:bubble3D val="0"/>
            <c:spPr>
              <a:solidFill>
                <a:srgbClr val="FFFFCC"/>
              </a:solidFill>
              <a:ln w="12700">
                <a:solidFill>
                  <a:srgbClr val="000000">
                    <a:alpha val="100000"/>
                  </a:srgbClr>
                </a:solidFill>
                <a:prstDash val="solid"/>
              </a:ln>
              <a:effectLst/>
            </c:spPr>
          </c:dPt>
          <c:dPt>
            <c:idx val="3"/>
            <c:bubble3D val="0"/>
            <c:spPr>
              <a:solidFill>
                <a:srgbClr val="CCFFFF"/>
              </a:solidFill>
              <a:ln w="12700">
                <a:solidFill>
                  <a:srgbClr val="000000">
                    <a:alpha val="100000"/>
                  </a:srgbClr>
                </a:solidFill>
                <a:prstDash val="solid"/>
              </a:ln>
              <a:effectLst/>
            </c:spPr>
          </c:dPt>
          <c:dPt>
            <c:idx val="4"/>
            <c:bubble3D val="0"/>
            <c:spPr>
              <a:solidFill>
                <a:srgbClr val="660066"/>
              </a:solidFill>
              <a:ln w="12700">
                <a:solidFill>
                  <a:srgbClr val="000000">
                    <a:alpha val="100000"/>
                  </a:srgbClr>
                </a:solidFill>
                <a:prstDash val="solid"/>
              </a:ln>
              <a:effectLst/>
            </c:spPr>
          </c:dPt>
          <c:dPt>
            <c:idx val="5"/>
            <c:bubble3D val="0"/>
            <c:spPr>
              <a:solidFill>
                <a:srgbClr val="FF8080"/>
              </a:solidFill>
              <a:ln w="12700">
                <a:solidFill>
                  <a:srgbClr val="000000">
                    <a:alpha val="100000"/>
                  </a:srgbClr>
                </a:solidFill>
                <a:prstDash val="solid"/>
              </a:ln>
              <a:effectLst/>
            </c:spPr>
          </c:dPt>
          <c:dPt>
            <c:idx val="6"/>
            <c:bubble3D val="0"/>
            <c:spPr>
              <a:solidFill>
                <a:srgbClr val="0066CC"/>
              </a:solidFill>
              <a:ln w="12700">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[2]主要产品单位成本分析表!$O$6:$O$12</c:f>
              <c:numCache>
                <c:formatCode>General</c:formatCode>
                <c:ptCount val="7"/>
                <c:pt idx="0">
                  <c:v>0</c:v>
                </c:pt>
                <c:pt idx="1">
                  <c:v>0</c:v>
                </c:pt>
                <c:pt idx="2">
                  <c:v>0</c:v>
                </c:pt>
                <c:pt idx="3">
                  <c:v>0</c:v>
                </c:pt>
                <c:pt idx="4">
                  <c:v>0</c:v>
                </c:pt>
                <c:pt idx="5">
                  <c:v>0</c:v>
                </c:pt>
                <c:pt idx="6">
                  <c:v>0</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625"/>
          <c:y val="0.1195"/>
          <c:w val="0.894"/>
          <c:h val="0.1045"/>
        </c:manualLayout>
      </c:layout>
      <c:lineChart>
        <c:grouping val="standard"/>
        <c:varyColors val="0"/>
        <c:ser>
          <c:idx val="0"/>
          <c:order val="0"/>
          <c:tx>
            <c:strRef>
              <c:f>[2]主要产品单位成本分析表!$A$6</c:f>
              <c:strCache>
                <c:ptCount val="1"/>
                <c:pt idx="0">
                  <c:v>A</c:v>
                </c:pt>
              </c:strCache>
            </c:strRef>
          </c:tx>
          <c:spPr>
            <a:ln w="12700" cap="rnd" cmpd="sng" algn="ctr">
              <a:solidFill>
                <a:srgbClr val="000080"/>
              </a:solidFill>
              <a:prstDash val="solid"/>
              <a:round/>
            </a:ln>
            <a:effectLst/>
          </c:spPr>
          <c:marker>
            <c:symbol val="none"/>
          </c:marker>
          <c:dLbls>
            <c:delete val="1"/>
          </c:dLbls>
          <c:val>
            <c:numRef>
              <c:f>[2]主要产品单位成本分析表!$B$6:$M$6</c:f>
              <c:numCache>
                <c:formatCode>General</c:formatCode>
                <c:ptCount val="12"/>
                <c:pt idx="4">
                  <c:v>0</c:v>
                </c:pt>
                <c:pt idx="5">
                  <c:v>0</c:v>
                </c:pt>
                <c:pt idx="6">
                  <c:v>0</c:v>
                </c:pt>
                <c:pt idx="7">
                  <c:v>0</c:v>
                </c:pt>
                <c:pt idx="8">
                  <c:v>0</c:v>
                </c:pt>
                <c:pt idx="9">
                  <c:v>0</c:v>
                </c:pt>
                <c:pt idx="10">
                  <c:v>0</c:v>
                </c:pt>
                <c:pt idx="11">
                  <c:v>0</c:v>
                </c:pt>
              </c:numCache>
            </c:numRef>
          </c:val>
          <c:smooth val="0"/>
        </c:ser>
        <c:ser>
          <c:idx val="1"/>
          <c:order val="1"/>
          <c:tx>
            <c:strRef>
              <c:f>[2]主要产品单位成本分析表!$A$7</c:f>
              <c:strCache>
                <c:ptCount val="1"/>
                <c:pt idx="0">
                  <c:v>B</c:v>
                </c:pt>
              </c:strCache>
            </c:strRef>
          </c:tx>
          <c:spPr>
            <a:ln w="12700" cap="rnd" cmpd="sng" algn="ctr">
              <a:solidFill>
                <a:srgbClr val="FF00FF"/>
              </a:solidFill>
              <a:prstDash val="solid"/>
              <a:round/>
            </a:ln>
            <a:effectLst/>
          </c:spPr>
          <c:marker>
            <c:symbol val="none"/>
          </c:marker>
          <c:dLbls>
            <c:delete val="1"/>
          </c:dLbls>
          <c:val>
            <c:numRef>
              <c:f>[2]主要产品单位成本分析表!$B$7:$M$7</c:f>
              <c:numCache>
                <c:formatCode>General</c:formatCode>
                <c:ptCount val="12"/>
                <c:pt idx="4">
                  <c:v>0</c:v>
                </c:pt>
                <c:pt idx="5">
                  <c:v>0</c:v>
                </c:pt>
                <c:pt idx="6">
                  <c:v>0</c:v>
                </c:pt>
                <c:pt idx="7">
                  <c:v>0</c:v>
                </c:pt>
                <c:pt idx="8">
                  <c:v>0</c:v>
                </c:pt>
                <c:pt idx="9">
                  <c:v>0</c:v>
                </c:pt>
                <c:pt idx="10">
                  <c:v>0</c:v>
                </c:pt>
                <c:pt idx="11">
                  <c:v>0</c:v>
                </c:pt>
              </c:numCache>
            </c:numRef>
          </c:val>
          <c:smooth val="0"/>
        </c:ser>
        <c:ser>
          <c:idx val="2"/>
          <c:order val="2"/>
          <c:tx>
            <c:strRef>
              <c:f>[2]主要产品单位成本分析表!$A$8</c:f>
              <c:strCache>
                <c:ptCount val="1"/>
                <c:pt idx="0">
                  <c:v>C</c:v>
                </c:pt>
              </c:strCache>
            </c:strRef>
          </c:tx>
          <c:spPr>
            <a:ln w="12700" cap="rnd" cmpd="sng" algn="ctr">
              <a:solidFill>
                <a:srgbClr val="FFFF00"/>
              </a:solidFill>
              <a:prstDash val="solid"/>
              <a:round/>
            </a:ln>
            <a:effectLst/>
          </c:spPr>
          <c:marker>
            <c:symbol val="none"/>
          </c:marker>
          <c:dLbls>
            <c:delete val="1"/>
          </c:dLbls>
          <c:val>
            <c:numRef>
              <c:f>[2]主要产品单位成本分析表!$B$8:$M$8</c:f>
              <c:numCache>
                <c:formatCode>General</c:formatCode>
                <c:ptCount val="12"/>
                <c:pt idx="4">
                  <c:v>0</c:v>
                </c:pt>
                <c:pt idx="5">
                  <c:v>0</c:v>
                </c:pt>
                <c:pt idx="6">
                  <c:v>0</c:v>
                </c:pt>
                <c:pt idx="7">
                  <c:v>0</c:v>
                </c:pt>
                <c:pt idx="8">
                  <c:v>0</c:v>
                </c:pt>
                <c:pt idx="9">
                  <c:v>0</c:v>
                </c:pt>
                <c:pt idx="10">
                  <c:v>0</c:v>
                </c:pt>
                <c:pt idx="11">
                  <c:v>0</c:v>
                </c:pt>
              </c:numCache>
            </c:numRef>
          </c:val>
          <c:smooth val="0"/>
        </c:ser>
        <c:ser>
          <c:idx val="3"/>
          <c:order val="3"/>
          <c:tx>
            <c:strRef>
              <c:f>[2]主要产品单位成本分析表!#REF!</c:f>
              <c:strCache>
                <c:ptCount val="1"/>
                <c:pt idx="0">
                  <c:v/>
                </c:pt>
              </c:strCache>
            </c:strRef>
          </c:tx>
          <c:spPr>
            <a:ln w="12700" cap="rnd" cmpd="sng" algn="ctr">
              <a:solidFill>
                <a:srgbClr val="00FFFF"/>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ser>
          <c:idx val="4"/>
          <c:order val="4"/>
          <c:tx>
            <c:strRef>
              <c:f>[2]主要产品单位成本分析表!#REF!</c:f>
              <c:strCache>
                <c:ptCount val="1"/>
                <c:pt idx="0">
                  <c:v/>
                </c:pt>
              </c:strCache>
            </c:strRef>
          </c:tx>
          <c:spPr>
            <a:ln w="12700" cap="rnd" cmpd="sng" algn="ctr">
              <a:solidFill>
                <a:srgbClr val="800080"/>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4982528"/>
        <c:axId val="94984064"/>
      </c:lineChart>
      <c:catAx>
        <c:axId val="949825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984064"/>
        <c:crosses val="autoZero"/>
        <c:auto val="1"/>
        <c:lblAlgn val="ctr"/>
        <c:lblOffset val="100"/>
        <c:noMultiLvlLbl val="0"/>
      </c:catAx>
      <c:valAx>
        <c:axId val="949840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498252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100" b="0" i="0" u="none" strike="noStrike" kern="1200" baseline="0">
                <a:solidFill>
                  <a:srgbClr val="000000">
                    <a:alpha val="100000"/>
                  </a:srgbClr>
                </a:solidFill>
                <a:latin typeface="Times New Roman" panose="02020603050405020304" charset="-122"/>
                <a:ea typeface="Times New Roman" panose="02020603050405020304" charset="-122"/>
                <a:cs typeface="Times New Roman" panose="02020603050405020304" charset="-122"/>
              </a:defRPr>
            </a:pPr>
            <a:r>
              <a:t>销售收入、费用对比表</a:t>
            </a:r>
            <a:endParaRPr sz="100" b="0" i="0" u="none" strike="noStrike">
              <a:solidFill>
                <a:srgbClr val="000000">
                  <a:alpha val="100000"/>
                </a:srgbClr>
              </a:solidFill>
              <a:latin typeface="Times New Roman" panose="02020603050405020304" charset="-122"/>
              <a:ea typeface="Times New Roman" panose="02020603050405020304" charset="-122"/>
              <a:cs typeface="Times New Roman" panose="02020603050405020304" charset="-122"/>
            </a:endParaRPr>
          </a:p>
        </c:rich>
      </c:tx>
      <c:layout/>
      <c:overlay val="0"/>
      <c:spPr>
        <a:noFill/>
        <a:ln w="3175">
          <a:noFill/>
        </a:ln>
        <a:effectLst/>
      </c:spPr>
    </c:title>
    <c:autoTitleDeleted val="0"/>
    <c:plotArea>
      <c:layout>
        <c:manualLayout>
          <c:layoutTarget val="inner"/>
          <c:xMode val="edge"/>
          <c:yMode val="edge"/>
          <c:x val="0.0165"/>
          <c:y val="0.0455"/>
          <c:w val="0.9365"/>
          <c:h val="0.92825"/>
        </c:manualLayout>
      </c:layout>
      <c:lineChart>
        <c:grouping val="standard"/>
        <c:varyColors val="0"/>
        <c:ser>
          <c:idx val="0"/>
          <c:order val="0"/>
          <c:tx>
            <c:strRef>
              <c:f>收支对比!$B$3</c:f>
              <c:strCache>
                <c:ptCount val="1"/>
                <c:pt idx="0">
                  <c:v>本年度</c:v>
                </c:pt>
              </c:strCache>
            </c:strRef>
          </c:tx>
          <c:spPr>
            <a:ln w="12700" cap="rnd" cmpd="sng" algn="ctr">
              <a:solidFill>
                <a:srgbClr val="000080"/>
              </a:solidFill>
              <a:prstDash val="solid"/>
              <a:round/>
            </a:ln>
            <a:effectLst/>
          </c:spPr>
          <c:marker>
            <c:symbol val="none"/>
          </c:marker>
          <c:dLbls>
            <c:delete val="1"/>
          </c:dLbls>
          <c:val>
            <c:numRef>
              <c:f>收支对比!$B$4:$B$5</c:f>
              <c:numCache>
                <c:formatCode>_ * #,##0.00_ ;_ * \-#,##0.00_ ;_ * "-"??_ ;_ @_ </c:formatCode>
                <c:ptCount val="2"/>
                <c:pt idx="0">
                  <c:v>300000</c:v>
                </c:pt>
                <c:pt idx="1">
                  <c:v>55552</c:v>
                </c:pt>
              </c:numCache>
            </c:numRef>
          </c:val>
          <c:smooth val="0"/>
        </c:ser>
        <c:ser>
          <c:idx val="1"/>
          <c:order val="1"/>
          <c:tx>
            <c:strRef>
              <c:f>收支对比!$C$3</c:f>
              <c:strCache>
                <c:ptCount val="1"/>
                <c:pt idx="0">
                  <c:v>上年度</c:v>
                </c:pt>
              </c:strCache>
            </c:strRef>
          </c:tx>
          <c:spPr>
            <a:ln w="12700" cap="rnd" cmpd="sng" algn="ctr">
              <a:solidFill>
                <a:srgbClr val="FF00FF"/>
              </a:solidFill>
              <a:prstDash val="solid"/>
              <a:round/>
            </a:ln>
            <a:effectLst/>
          </c:spPr>
          <c:marker>
            <c:symbol val="none"/>
          </c:marker>
          <c:dLbls>
            <c:delete val="1"/>
          </c:dLbls>
          <c:val>
            <c:numRef>
              <c:f>收支对比!$C$4:$C$5</c:f>
              <c:numCache>
                <c:formatCode>_ * #,##0.00_ ;_ * \-#,##0.00_ ;_ * "-"??_ ;_ @_ </c:formatCode>
                <c:ptCount val="2"/>
                <c:pt idx="0">
                  <c:v>160000</c:v>
                </c:pt>
                <c:pt idx="1">
                  <c:v>34441</c:v>
                </c:pt>
              </c:numCache>
            </c:numRef>
          </c:val>
          <c:smooth val="0"/>
        </c:ser>
        <c:dLbls>
          <c:showLegendKey val="0"/>
          <c:showVal val="0"/>
          <c:showCatName val="0"/>
          <c:showSerName val="0"/>
          <c:showPercent val="0"/>
          <c:showBubbleSize val="0"/>
        </c:dLbls>
        <c:marker val="0"/>
        <c:smooth val="0"/>
        <c:axId val="82222080"/>
        <c:axId val="81466112"/>
      </c:lineChart>
      <c:catAx>
        <c:axId val="82222080"/>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1466112"/>
        <c:crosses val="autoZero"/>
        <c:auto val="1"/>
        <c:lblAlgn val="ctr"/>
        <c:lblOffset val="100"/>
        <c:noMultiLvlLbl val="0"/>
      </c:catAx>
      <c:valAx>
        <c:axId val="81466112"/>
        <c:scaling>
          <c:orientation val="minMax"/>
        </c:scaling>
        <c:delete val="0"/>
        <c:axPos val="l"/>
        <c:majorGridlines>
          <c:spPr>
            <a:ln w="3175" cap="flat" cmpd="sng" algn="ctr">
              <a:solidFill>
                <a:srgbClr val="000000">
                  <a:alpha val="100000"/>
                </a:srgbClr>
              </a:solidFill>
              <a:prstDash val="solid"/>
              <a:round/>
            </a:ln>
            <a:effectLst/>
          </c:spPr>
        </c:majorGridlines>
        <c:numFmt formatCode="_ * #,##0.00_ ;_ * \-#,##0.00_ ;_ * &quot;-&quot;??_ ;_ @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22208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25731537975292"/>
          <c:y val="0.484262467191601"/>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目录!#REF!</c:f>
              <c:strCache>
                <c:ptCount val="1"/>
                <c:pt idx="0">
                  <c:v/>
                </c:pt>
              </c:strCache>
            </c:strRef>
          </c:tx>
          <c:spPr>
            <a:ln w="12700" cap="rnd" cmpd="sng" algn="ctr">
              <a:solidFill>
                <a:srgbClr val="000080"/>
              </a:solidFill>
              <a:prstDash val="solid"/>
              <a:round/>
            </a:ln>
            <a:effectLst/>
          </c:spPr>
          <c:marker>
            <c:symbol val="none"/>
          </c:marker>
          <c:dLbls>
            <c:delete val="1"/>
          </c:dLbls>
          <c:val>
            <c:numRef>
              <c:f>目录!#REF!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516288"/>
        <c:axId val="85517824"/>
      </c:lineChart>
      <c:catAx>
        <c:axId val="855162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517824"/>
        <c:crosses val="autoZero"/>
        <c:auto val="1"/>
        <c:lblAlgn val="ctr"/>
        <c:lblOffset val="100"/>
        <c:noMultiLvlLbl val="0"/>
      </c:catAx>
      <c:valAx>
        <c:axId val="855178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51628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375"/>
          <c:y val="0.04475"/>
          <c:w val="0.94525"/>
          <c:h val="0.1045"/>
        </c:manualLayout>
      </c:layout>
      <c:lineChart>
        <c:grouping val="standard"/>
        <c:varyColors val="0"/>
        <c:ser>
          <c:idx val="0"/>
          <c:order val="0"/>
          <c:tx>
            <c:strRef>
              <c:f>[2]主要产品单位成本分析表!$A$6</c:f>
              <c:strCache>
                <c:ptCount val="1"/>
                <c:pt idx="0">
                  <c:v>A</c:v>
                </c:pt>
              </c:strCache>
            </c:strRef>
          </c:tx>
          <c:spPr>
            <a:ln w="12700" cap="rnd" cmpd="sng" algn="ctr">
              <a:solidFill>
                <a:srgbClr val="000080"/>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ser>
          <c:idx val="1"/>
          <c:order val="1"/>
          <c:tx>
            <c:strRef>
              <c:f>[2]主要产品单位成本分析表!$A$7</c:f>
              <c:strCache>
                <c:ptCount val="1"/>
                <c:pt idx="0">
                  <c:v>B</c:v>
                </c:pt>
              </c:strCache>
            </c:strRef>
          </c:tx>
          <c:spPr>
            <a:ln w="12700" cap="rnd" cmpd="sng" algn="ctr">
              <a:solidFill>
                <a:srgbClr val="FF00FF"/>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ser>
          <c:idx val="2"/>
          <c:order val="2"/>
          <c:tx>
            <c:strRef>
              <c:f>[2]主要产品单位成本分析表!$A$8</c:f>
              <c:strCache>
                <c:ptCount val="1"/>
                <c:pt idx="0">
                  <c:v>C</c:v>
                </c:pt>
              </c:strCache>
            </c:strRef>
          </c:tx>
          <c:spPr>
            <a:ln w="12700" cap="rnd" cmpd="sng" algn="ctr">
              <a:solidFill>
                <a:srgbClr val="FFFF00"/>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ser>
          <c:idx val="3"/>
          <c:order val="3"/>
          <c:tx>
            <c:strRef>
              <c:f>[2]主要产品单位成本分析表!#REF!</c:f>
              <c:strCache>
                <c:ptCount val="1"/>
                <c:pt idx="0">
                  <c:v/>
                </c:pt>
              </c:strCache>
            </c:strRef>
          </c:tx>
          <c:spPr>
            <a:ln w="12700" cap="rnd" cmpd="sng" algn="ctr">
              <a:solidFill>
                <a:srgbClr val="00FFFF"/>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ser>
          <c:idx val="4"/>
          <c:order val="4"/>
          <c:tx>
            <c:strRef>
              <c:f>[2]主要产品单位成本分析表!#REF!</c:f>
              <c:strCache>
                <c:ptCount val="1"/>
                <c:pt idx="0">
                  <c:v/>
                </c:pt>
              </c:strCache>
            </c:strRef>
          </c:tx>
          <c:spPr>
            <a:ln w="12700" cap="rnd" cmpd="sng" algn="ctr">
              <a:solidFill>
                <a:srgbClr val="800080"/>
              </a:solidFill>
              <a:prstDash val="solid"/>
              <a:round/>
            </a:ln>
            <a:effectLst/>
          </c:spPr>
          <c:marker>
            <c:symbol val="none"/>
          </c:marker>
          <c:dLbls>
            <c:delete val="1"/>
          </c:dLbls>
          <c:val>
            <c:numRef>
              <c:f>[2]主要产品单位成本分析表!#REF!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95093120"/>
        <c:axId val="95094656"/>
      </c:lineChart>
      <c:catAx>
        <c:axId val="950931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094656"/>
        <c:crosses val="autoZero"/>
        <c:auto val="1"/>
        <c:lblAlgn val="ctr"/>
        <c:lblOffset val="100"/>
        <c:noMultiLvlLbl val="0"/>
      </c:catAx>
      <c:valAx>
        <c:axId val="950946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09312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30000000000001"/>
          <c:y val="0.0745000000000001"/>
          <c:w val="0.7395"/>
          <c:h val="0.78375"/>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[2]主要产品单位成本分析表!$F$6:$F$12</c:f>
              <c:numCache>
                <c:formatCode>General</c:formatCode>
                <c:ptCount val="7"/>
                <c:pt idx="0">
                  <c:v>0</c:v>
                </c:pt>
                <c:pt idx="1">
                  <c:v>0</c:v>
                </c:pt>
                <c:pt idx="2">
                  <c:v>0</c:v>
                </c:pt>
                <c:pt idx="3">
                  <c:v>0</c:v>
                </c:pt>
                <c:pt idx="4">
                  <c:v>0</c:v>
                </c:pt>
                <c:pt idx="5">
                  <c:v>0</c:v>
                </c:pt>
                <c:pt idx="6">
                  <c:v>0</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[2]主要产品单位成本分析表!$K$6:$K$12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127424"/>
        <c:axId val="95128960"/>
      </c:barChart>
      <c:catAx>
        <c:axId val="951274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128960"/>
        <c:crosses val="autoZero"/>
        <c:auto val="1"/>
        <c:lblAlgn val="ctr"/>
        <c:lblOffset val="100"/>
        <c:noMultiLvlLbl val="0"/>
      </c:catAx>
      <c:valAx>
        <c:axId val="951289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12742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1845"/>
          <c:y val="0.0005"/>
          <c:w val="0.51725"/>
          <c:h val="0.0637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55000000000001"/>
          <c:y val="0.03525"/>
          <c:w val="0.886"/>
          <c:h val="0.781"/>
        </c:manualLayout>
      </c:layout>
      <c:barChart>
        <c:barDir val="col"/>
        <c:grouping val="clustered"/>
        <c:varyColors val="0"/>
        <c:ser>
          <c:idx val="0"/>
          <c:order val="0"/>
          <c:tx>
            <c:strRef>
              <c:f>[2]主要产品单位成本分析表!$L$5</c:f>
              <c:strCache>
                <c:ptCount val="1"/>
                <c:pt idx="0">
                  <c:v>直接材料</c:v>
                </c:pt>
              </c:strCache>
            </c:strRef>
          </c:tx>
          <c:spPr>
            <a:solidFill>
              <a:srgbClr val="9999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[2]主要产品单位成本分析表!$L$6:$L$12</c:f>
              <c:numCache>
                <c:formatCode>General</c:formatCode>
                <c:ptCount val="7"/>
                <c:pt idx="0">
                  <c:v>0</c:v>
                </c:pt>
                <c:pt idx="1">
                  <c:v>0</c:v>
                </c:pt>
                <c:pt idx="2">
                  <c:v>0</c:v>
                </c:pt>
                <c:pt idx="3">
                  <c:v>0</c:v>
                </c:pt>
                <c:pt idx="4">
                  <c:v>0</c:v>
                </c:pt>
                <c:pt idx="5">
                  <c:v>0</c:v>
                </c:pt>
                <c:pt idx="6">
                  <c:v>0</c:v>
                </c:pt>
              </c:numCache>
            </c:numRef>
          </c:val>
        </c:ser>
        <c:ser>
          <c:idx val="1"/>
          <c:order val="1"/>
          <c:tx>
            <c:strRef>
              <c:f>[2]主要产品单位成本分析表!$M$5</c:f>
              <c:strCache>
                <c:ptCount val="1"/>
                <c:pt idx="0">
                  <c:v>直接人工</c:v>
                </c:pt>
              </c:strCache>
            </c:strRef>
          </c:tx>
          <c:spPr>
            <a:solidFill>
              <a:srgbClr val="993366"/>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[2]主要产品单位成本分析表!$M$6:$M$12</c:f>
              <c:numCache>
                <c:formatCode>General</c:formatCode>
                <c:ptCount val="7"/>
                <c:pt idx="0">
                  <c:v>0</c:v>
                </c:pt>
                <c:pt idx="1">
                  <c:v>0</c:v>
                </c:pt>
                <c:pt idx="2">
                  <c:v>0</c:v>
                </c:pt>
                <c:pt idx="3">
                  <c:v>0</c:v>
                </c:pt>
                <c:pt idx="4">
                  <c:v>0</c:v>
                </c:pt>
                <c:pt idx="5">
                  <c:v>0</c:v>
                </c:pt>
                <c:pt idx="6">
                  <c:v>0</c:v>
                </c:pt>
              </c:numCache>
            </c:numRef>
          </c:val>
        </c:ser>
        <c:ser>
          <c:idx val="2"/>
          <c:order val="2"/>
          <c:tx>
            <c:strRef>
              <c:f>[2]主要产品单位成本分析表!$N$5</c:f>
              <c:strCache>
                <c:ptCount val="1"/>
                <c:pt idx="0">
                  <c:v>制造费用</c:v>
                </c:pt>
              </c:strCache>
            </c:strRef>
          </c:tx>
          <c:spPr>
            <a:solidFill>
              <a:srgbClr val="FFFFCC"/>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[2]主要产品单位成本分析表!$N$6:$N$12</c:f>
              <c:numCache>
                <c:formatCode>General</c:formatCode>
                <c:ptCount val="7"/>
                <c:pt idx="0">
                  <c:v>0</c:v>
                </c:pt>
                <c:pt idx="1">
                  <c:v>0</c:v>
                </c:pt>
                <c:pt idx="2">
                  <c:v>0</c:v>
                </c:pt>
                <c:pt idx="3">
                  <c:v>0</c:v>
                </c:pt>
                <c:pt idx="4">
                  <c:v>0</c:v>
                </c:pt>
                <c:pt idx="5">
                  <c:v>0</c:v>
                </c:pt>
                <c:pt idx="6">
                  <c:v>0</c:v>
                </c:pt>
              </c:numCache>
            </c:numRef>
          </c:val>
        </c:ser>
        <c:ser>
          <c:idx val="3"/>
          <c:order val="3"/>
          <c:tx>
            <c:strRef>
              <c:f>[2]主要产品单位成本分析表!$O$5</c:f>
              <c:strCache>
                <c:ptCount val="1"/>
                <c:pt idx="0">
                  <c:v>其他</c:v>
                </c:pt>
              </c:strCache>
            </c:strRef>
          </c:tx>
          <c:spPr>
            <a:solidFill>
              <a:srgbClr val="CCFF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[2]主要产品单位成本分析表!$O$6:$O$12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249536"/>
        <c:axId val="95251072"/>
      </c:barChart>
      <c:catAx>
        <c:axId val="952495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251072"/>
        <c:crosses val="autoZero"/>
        <c:auto val="1"/>
        <c:lblAlgn val="ctr"/>
        <c:lblOffset val="100"/>
        <c:noMultiLvlLbl val="0"/>
      </c:catAx>
      <c:valAx>
        <c:axId val="952510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24953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14925"/>
          <c:y val="0.92275"/>
          <c:w val="0.7885"/>
          <c:h val="0.0772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8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25"/>
          <c:y val="0.057"/>
          <c:w val="0.82775"/>
          <c:h val="0.684"/>
        </c:manualLayout>
      </c:layout>
      <c:barChart>
        <c:barDir val="col"/>
        <c:grouping val="clustered"/>
        <c:varyColors val="0"/>
        <c:ser>
          <c:idx val="0"/>
          <c:order val="0"/>
          <c:tx>
            <c:strRef>
              <c:f>[2]主要产品单位成本分析表!$L$15</c:f>
              <c:strCache>
                <c:ptCount val="1"/>
                <c:pt idx="0">
                  <c:v>直接材料</c:v>
                </c:pt>
              </c:strCache>
            </c:strRef>
          </c:tx>
          <c:spPr>
            <a:solidFill>
              <a:srgbClr val="9999FF"/>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[2]主要产品单位成本分析表!$L$16:$L$22</c:f>
              <c:numCache>
                <c:formatCode>General</c:formatCode>
                <c:ptCount val="7"/>
                <c:pt idx="0">
                  <c:v>0</c:v>
                </c:pt>
                <c:pt idx="1">
                  <c:v>0</c:v>
                </c:pt>
                <c:pt idx="2">
                  <c:v>0</c:v>
                </c:pt>
                <c:pt idx="3">
                  <c:v>0</c:v>
                </c:pt>
                <c:pt idx="4">
                  <c:v>0</c:v>
                </c:pt>
                <c:pt idx="5">
                  <c:v>0</c:v>
                </c:pt>
                <c:pt idx="6">
                  <c:v>0</c:v>
                </c:pt>
              </c:numCache>
            </c:numRef>
          </c:val>
        </c:ser>
        <c:ser>
          <c:idx val="1"/>
          <c:order val="1"/>
          <c:tx>
            <c:strRef>
              <c:f>[2]主要产品单位成本分析表!$M$15</c:f>
              <c:strCache>
                <c:ptCount val="1"/>
                <c:pt idx="0">
                  <c:v>直接人工</c:v>
                </c:pt>
              </c:strCache>
            </c:strRef>
          </c:tx>
          <c:spPr>
            <a:solidFill>
              <a:srgbClr val="993366"/>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[2]主要产品单位成本分析表!$M$16:$M$22</c:f>
              <c:numCache>
                <c:formatCode>General</c:formatCode>
                <c:ptCount val="7"/>
                <c:pt idx="0">
                  <c:v>0</c:v>
                </c:pt>
                <c:pt idx="1">
                  <c:v>0</c:v>
                </c:pt>
                <c:pt idx="2">
                  <c:v>0</c:v>
                </c:pt>
                <c:pt idx="3">
                  <c:v>0</c:v>
                </c:pt>
                <c:pt idx="4">
                  <c:v>0</c:v>
                </c:pt>
                <c:pt idx="5">
                  <c:v>0</c:v>
                </c:pt>
                <c:pt idx="6">
                  <c:v>0</c:v>
                </c:pt>
              </c:numCache>
            </c:numRef>
          </c:val>
        </c:ser>
        <c:ser>
          <c:idx val="2"/>
          <c:order val="2"/>
          <c:tx>
            <c:strRef>
              <c:f>[2]主要产品单位成本分析表!$N$15</c:f>
              <c:strCache>
                <c:ptCount val="1"/>
                <c:pt idx="0">
                  <c:v>制造费用</c:v>
                </c:pt>
              </c:strCache>
            </c:strRef>
          </c:tx>
          <c:spPr>
            <a:solidFill>
              <a:srgbClr val="FFFFCC"/>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[2]主要产品单位成本分析表!$N$16:$N$22</c:f>
              <c:numCache>
                <c:formatCode>General</c:formatCode>
                <c:ptCount val="7"/>
                <c:pt idx="0">
                  <c:v>0</c:v>
                </c:pt>
                <c:pt idx="1">
                  <c:v>0</c:v>
                </c:pt>
                <c:pt idx="2">
                  <c:v>0</c:v>
                </c:pt>
                <c:pt idx="3">
                  <c:v>0</c:v>
                </c:pt>
                <c:pt idx="4">
                  <c:v>0</c:v>
                </c:pt>
                <c:pt idx="5">
                  <c:v>0</c:v>
                </c:pt>
                <c:pt idx="6">
                  <c:v>0</c:v>
                </c:pt>
              </c:numCache>
            </c:numRef>
          </c:val>
        </c:ser>
        <c:ser>
          <c:idx val="3"/>
          <c:order val="3"/>
          <c:tx>
            <c:strRef>
              <c:f>[2]主要产品单位成本分析表!$O$15</c:f>
              <c:strCache>
                <c:ptCount val="1"/>
                <c:pt idx="0">
                  <c:v>其他</c:v>
                </c:pt>
              </c:strCache>
            </c:strRef>
          </c:tx>
          <c:spPr>
            <a:solidFill>
              <a:srgbClr val="CCFFFF"/>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[2]主要产品单位成本分析表!$O$16:$O$22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170944"/>
        <c:axId val="95172480"/>
      </c:barChart>
      <c:catAx>
        <c:axId val="951709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172480"/>
        <c:crosses val="autoZero"/>
        <c:auto val="1"/>
        <c:lblAlgn val="ctr"/>
        <c:lblOffset val="100"/>
        <c:noMultiLvlLbl val="0"/>
      </c:catAx>
      <c:valAx>
        <c:axId val="951724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1709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9575"/>
          <c:y val="0.89625"/>
          <c:w val="0.642570281124498"/>
          <c:h val="0.091954244168472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
          <c:y val="0.057"/>
          <c:w val="0.867"/>
          <c:h val="0.6632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[2]主要产品单位成本分析表!$B$16:$B$22</c:f>
              <c:numCache>
                <c:formatCode>General</c:formatCode>
                <c:ptCount val="7"/>
                <c:pt idx="0">
                  <c:v>0</c:v>
                </c:pt>
                <c:pt idx="1">
                  <c:v>0</c:v>
                </c:pt>
                <c:pt idx="2">
                  <c:v>0</c:v>
                </c:pt>
                <c:pt idx="3">
                  <c:v>0</c:v>
                </c:pt>
                <c:pt idx="4">
                  <c:v>0</c:v>
                </c:pt>
                <c:pt idx="5">
                  <c:v>0</c:v>
                </c:pt>
                <c:pt idx="6">
                  <c:v>0</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[2]主要产品单位成本分析表!$G$16:$G$22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205248"/>
        <c:axId val="95206784"/>
      </c:barChart>
      <c:catAx>
        <c:axId val="952052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206784"/>
        <c:crosses val="autoZero"/>
        <c:auto val="1"/>
        <c:lblAlgn val="ctr"/>
        <c:lblOffset val="100"/>
        <c:noMultiLvlLbl val="0"/>
      </c:catAx>
      <c:valAx>
        <c:axId val="952067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20524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6025"/>
          <c:y val="0.8795"/>
          <c:w val="0.566535461057923"/>
          <c:h val="0.098522404466220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5"/>
          <c:y val="0.0565"/>
          <c:w val="0.874"/>
          <c:h val="0.6102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[2]主要产品单位成本分析表!$C$16:$C$22</c:f>
              <c:numCache>
                <c:formatCode>General</c:formatCode>
                <c:ptCount val="7"/>
                <c:pt idx="0">
                  <c:v>0</c:v>
                </c:pt>
                <c:pt idx="1">
                  <c:v>0</c:v>
                </c:pt>
                <c:pt idx="2">
                  <c:v>0</c:v>
                </c:pt>
                <c:pt idx="3">
                  <c:v>0</c:v>
                </c:pt>
                <c:pt idx="4">
                  <c:v>0</c:v>
                </c:pt>
                <c:pt idx="5">
                  <c:v>0</c:v>
                </c:pt>
                <c:pt idx="6">
                  <c:v>0</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[2]主要产品单位成本分析表!$H$16:$H$22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292800"/>
        <c:axId val="95323264"/>
      </c:barChart>
      <c:catAx>
        <c:axId val="952928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323264"/>
        <c:crosses val="autoZero"/>
        <c:auto val="1"/>
        <c:lblAlgn val="ctr"/>
        <c:lblOffset val="100"/>
        <c:noMultiLvlLbl val="0"/>
      </c:catAx>
      <c:valAx>
        <c:axId val="953232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2928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5825"/>
          <c:y val="0.8645"/>
          <c:w val="0.571050247675148"/>
          <c:h val="0.106952430191083"/>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5"/>
          <c:y val="0.06175"/>
          <c:w val="0.86825"/>
          <c:h val="0.5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[2]主要产品单位成本分析表!$D$16:$D$22</c:f>
              <c:numCache>
                <c:formatCode>General</c:formatCode>
                <c:ptCount val="7"/>
                <c:pt idx="0">
                  <c:v>0</c:v>
                </c:pt>
                <c:pt idx="1">
                  <c:v>0</c:v>
                </c:pt>
                <c:pt idx="2">
                  <c:v>0</c:v>
                </c:pt>
                <c:pt idx="3">
                  <c:v>0</c:v>
                </c:pt>
                <c:pt idx="4">
                  <c:v>0</c:v>
                </c:pt>
                <c:pt idx="5">
                  <c:v>0</c:v>
                </c:pt>
                <c:pt idx="6">
                  <c:v>0</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strRef>
              <c:f>[2]主要产品单位成本分析表!$A$6:$A$12</c:f>
              <c:strCache>
                <c:ptCount val="7"/>
                <c:pt idx="0">
                  <c:v>A</c:v>
                </c:pt>
                <c:pt idx="1">
                  <c:v>B</c:v>
                </c:pt>
                <c:pt idx="2">
                  <c:v>C</c:v>
                </c:pt>
                <c:pt idx="3">
                  <c:v>D</c:v>
                </c:pt>
                <c:pt idx="4">
                  <c:v>E</c:v>
                </c:pt>
                <c:pt idx="5">
                  <c:v>F</c:v>
                </c:pt>
                <c:pt idx="6">
                  <c:v>G</c:v>
                </c:pt>
              </c:strCache>
            </c:strRef>
          </c:cat>
          <c:val>
            <c:numRef>
              <c:f>[2]主要产品单位成本分析表!$I$16:$I$22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351936"/>
        <c:axId val="95353472"/>
      </c:barChart>
      <c:catAx>
        <c:axId val="953519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353472"/>
        <c:crosses val="autoZero"/>
        <c:auto val="1"/>
        <c:lblAlgn val="ctr"/>
        <c:lblOffset val="100"/>
        <c:noMultiLvlLbl val="0"/>
      </c:catAx>
      <c:valAx>
        <c:axId val="953534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3519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5875"/>
          <c:y val="0.8705"/>
          <c:w val="0.569914403469552"/>
          <c:h val="0.106383255026323"/>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
          <c:y val="0.0615"/>
          <c:w val="0.8685"/>
          <c:h val="0.5922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[2]主要产品单位成本分析表!$E$16:$E$22</c:f>
              <c:numCache>
                <c:formatCode>General</c:formatCode>
                <c:ptCount val="7"/>
                <c:pt idx="0">
                  <c:v>0</c:v>
                </c:pt>
                <c:pt idx="1">
                  <c:v>0</c:v>
                </c:pt>
                <c:pt idx="2">
                  <c:v>0</c:v>
                </c:pt>
                <c:pt idx="3">
                  <c:v>0</c:v>
                </c:pt>
                <c:pt idx="4">
                  <c:v>0</c:v>
                </c:pt>
                <c:pt idx="5">
                  <c:v>0</c:v>
                </c:pt>
                <c:pt idx="6">
                  <c:v>0</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strRef>
              <c:f>[2]主要产品单位成本分析表!$A$16:$A$22</c:f>
              <c:strCache>
                <c:ptCount val="7"/>
                <c:pt idx="0">
                  <c:v>A</c:v>
                </c:pt>
                <c:pt idx="1">
                  <c:v>B</c:v>
                </c:pt>
                <c:pt idx="2">
                  <c:v>C</c:v>
                </c:pt>
                <c:pt idx="3">
                  <c:v>D</c:v>
                </c:pt>
                <c:pt idx="4">
                  <c:v>E</c:v>
                </c:pt>
                <c:pt idx="5">
                  <c:v>F</c:v>
                </c:pt>
                <c:pt idx="6">
                  <c:v>G</c:v>
                </c:pt>
              </c:strCache>
            </c:strRef>
          </c:cat>
          <c:val>
            <c:numRef>
              <c:f>[2]主要产品单位成本分析表!$J$16:$J$22</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382144"/>
        <c:axId val="95400320"/>
      </c:barChart>
      <c:catAx>
        <c:axId val="953821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400320"/>
        <c:crosses val="autoZero"/>
        <c:auto val="1"/>
        <c:lblAlgn val="ctr"/>
        <c:lblOffset val="100"/>
        <c:noMultiLvlLbl val="0"/>
      </c:catAx>
      <c:valAx>
        <c:axId val="954003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953821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235"/>
          <c:y val="0.87125"/>
          <c:w val="0.568783068783069"/>
          <c:h val="0.105820105820106"/>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
          <c:y val="0.21075"/>
          <c:w val="0.8765"/>
          <c:h val="0.608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[2]总生产成本分析表!$B$9:$M$9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5611648"/>
        <c:axId val="85613184"/>
      </c:lineChart>
      <c:catAx>
        <c:axId val="856116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613184"/>
        <c:crosses val="autoZero"/>
        <c:auto val="1"/>
        <c:lblAlgn val="ctr"/>
        <c:lblOffset val="100"/>
        <c:noMultiLvlLbl val="0"/>
      </c:catAx>
      <c:valAx>
        <c:axId val="856131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611648"/>
        <c:crosses val="autoZero"/>
        <c:crossBetween val="between"/>
      </c:valAx>
      <c:spPr>
        <a:solidFill>
          <a:srgbClr val="C0C0C0">
            <a:alpha val="100000"/>
          </a:srgbClr>
        </a:solidFill>
        <a:ln w="12700">
          <a:solidFill>
            <a:srgbClr val="808080">
              <a:alpha val="100000"/>
            </a:srgbClr>
          </a:solidFill>
          <a:prstDash val="solid"/>
        </a:ln>
        <a:effectLst/>
      </c:spPr>
    </c:plotArea>
    <c:legend>
      <c:legendPos val="t"/>
      <c:layout>
        <c:manualLayout>
          <c:xMode val="edge"/>
          <c:yMode val="edge"/>
          <c:x val="0.3455"/>
          <c:y val="0.00075"/>
          <c:w val="0.2075"/>
          <c:h val="0.1205"/>
        </c:manualLayout>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25"/>
          <c:y val="0.21675"/>
          <c:w val="0.27375"/>
          <c:h val="0.7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Pt>
            <c:idx val="1"/>
            <c:bubble3D val="0"/>
            <c:spPr>
              <a:solidFill>
                <a:srgbClr val="993366"/>
              </a:solidFill>
              <a:ln w="3175">
                <a:solidFill>
                  <a:srgbClr val="000000">
                    <a:alpha val="100000"/>
                  </a:srgbClr>
                </a:solidFill>
                <a:prstDash val="solid"/>
              </a:ln>
              <a:effectLst/>
            </c:spPr>
          </c:dPt>
          <c:dPt>
            <c:idx val="2"/>
            <c:bubble3D val="0"/>
            <c:spPr>
              <a:solidFill>
                <a:srgbClr val="FFFFCC"/>
              </a:solidFill>
              <a:ln w="12700">
                <a:solidFill>
                  <a:srgbClr val="000000">
                    <a:alpha val="100000"/>
                  </a:srgbClr>
                </a:solidFill>
                <a:prstDash val="solid"/>
              </a:ln>
              <a:effectLst/>
            </c:spPr>
          </c:dPt>
          <c:dPt>
            <c:idx val="3"/>
            <c:bubble3D val="0"/>
            <c:spPr>
              <a:solidFill>
                <a:srgbClr val="CCFFFF"/>
              </a:solidFill>
              <a:ln w="12700">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strRef>
              <c:f>[2]总生产成本分析表!$A$5:$A$8</c:f>
              <c:strCache>
                <c:ptCount val="4"/>
                <c:pt idx="0">
                  <c:v>直接材料</c:v>
                </c:pt>
                <c:pt idx="1">
                  <c:v>直接人工</c:v>
                </c:pt>
                <c:pt idx="2">
                  <c:v>制造费用</c:v>
                </c:pt>
                <c:pt idx="3">
                  <c:v>其他</c:v>
                </c:pt>
              </c:strCache>
            </c:strRef>
          </c:cat>
          <c:val>
            <c:numRef>
              <c:f>[2]总生产成本分析表!$O$5:$O$8</c:f>
              <c:numCache>
                <c:formatCode>General</c:formatCode>
                <c:ptCount val="4"/>
                <c:pt idx="0">
                  <c:v>0</c:v>
                </c:pt>
                <c:pt idx="1">
                  <c:v>0</c:v>
                </c:pt>
                <c:pt idx="2">
                  <c:v>0</c:v>
                </c:pt>
                <c:pt idx="3">
                  <c:v>0</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manualLayout>
          <c:xMode val="edge"/>
          <c:yMode val="edge"/>
          <c:x val="0.83825"/>
          <c:y val="0.07225"/>
          <c:w val="0.15175"/>
          <c:h val="0.7952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5"/>
          <c:y val="0.08625"/>
          <c:w val="0.861"/>
          <c:h val="0.62425"/>
        </c:manualLayout>
      </c:layout>
      <c:lineChart>
        <c:grouping val="standard"/>
        <c:varyColors val="0"/>
        <c:ser>
          <c:idx val="0"/>
          <c:order val="0"/>
          <c:tx>
            <c:strRef>
              <c:f>[2]总生产成本分析表!$A$5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[2]总生产成本分析表!$B$5:$M$5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[2]总生产成本分析表!$A$6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[2]总生产成本分析表!$B$6:$M$6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2"/>
          <c:order val="2"/>
          <c:tx>
            <c:strRef>
              <c:f>[2]总生产成本分析表!$A$7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[2]总生产成本分析表!$B$7:$M$7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3"/>
          <c:order val="3"/>
          <c:tx>
            <c:strRef>
              <c:f>[2]总生产成本分析表!$A$8</c:f>
              <c:strCache>
                <c:ptCount val="1"/>
                <c:pt idx="0">
                  <c:v>其他</c:v>
                </c:pt>
              </c:strCache>
            </c:strRef>
          </c:tx>
          <c:spPr>
            <a:ln w="12700" cap="rnd" cmpd="sng" algn="ctr">
              <a:solidFill>
                <a:srgbClr val="00FFFF"/>
              </a:solidFill>
              <a:prstDash val="solid"/>
              <a:round/>
            </a:ln>
            <a:effectLst/>
          </c:spPr>
          <c:marker>
            <c:symbol val="none"/>
          </c:marker>
          <c:dLbls>
            <c:delete val="1"/>
          </c:dLbls>
          <c:val>
            <c:numRef>
              <c:f>[2]总生产成本分析表!$B$8:$M$8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5708800"/>
        <c:axId val="85710336"/>
      </c:lineChart>
      <c:catAx>
        <c:axId val="857088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710336"/>
        <c:crosses val="autoZero"/>
        <c:auto val="1"/>
        <c:lblAlgn val="ctr"/>
        <c:lblOffset val="100"/>
        <c:noMultiLvlLbl val="0"/>
      </c:catAx>
      <c:valAx>
        <c:axId val="857103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70880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06175"/>
          <c:y val="0.85825"/>
          <c:w val="0.97475"/>
          <c:h val="0.09"/>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5"/>
          <c:y val="0.06175"/>
          <c:w val="0.851"/>
          <c:h val="0.6495"/>
        </c:manualLayout>
      </c:layout>
      <c:lineChart>
        <c:grouping val="standard"/>
        <c:varyColors val="0"/>
        <c:ser>
          <c:idx val="0"/>
          <c:order val="0"/>
          <c:tx>
            <c:strRef>
              <c:f>[2]总生产成本分析表!$A$5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[2]总生产成本分析表!$B$12:$M$12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[2]总生产成本分析表!$A$6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[2]总生产成本分析表!$B$13:$M$13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2"/>
          <c:order val="2"/>
          <c:tx>
            <c:strRef>
              <c:f>[2]总生产成本分析表!$A$7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[2]总生产成本分析表!$B$14:$M$14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3"/>
          <c:order val="3"/>
          <c:tx>
            <c:strRef>
              <c:f>[2]总生产成本分析表!$A$8</c:f>
              <c:strCache>
                <c:ptCount val="1"/>
                <c:pt idx="0">
                  <c:v>其他</c:v>
                </c:pt>
              </c:strCache>
            </c:strRef>
          </c:tx>
          <c:spPr>
            <a:ln w="12700" cap="rnd" cmpd="sng" algn="ctr">
              <a:solidFill>
                <a:srgbClr val="00FFFF"/>
              </a:solidFill>
              <a:prstDash val="solid"/>
              <a:round/>
            </a:ln>
            <a:effectLst/>
          </c:spPr>
          <c:marker>
            <c:symbol val="none"/>
          </c:marker>
          <c:dLbls>
            <c:delete val="1"/>
          </c:dLbls>
          <c:val>
            <c:numRef>
              <c:f>[2]总生产成本分析表!$B$15:$M$15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5736448"/>
        <c:axId val="85746432"/>
      </c:lineChart>
      <c:catAx>
        <c:axId val="8573644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746432"/>
        <c:crosses val="autoZero"/>
        <c:auto val="1"/>
        <c:lblAlgn val="ctr"/>
        <c:lblOffset val="100"/>
        <c:noMultiLvlLbl val="0"/>
      </c:catAx>
      <c:valAx>
        <c:axId val="857464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736448"/>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2085"/>
          <c:y val="0.8825"/>
          <c:w val="0.772375709238711"/>
          <c:h val="0.111111111111111"/>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1925"/>
          <c:y val="0.37325"/>
          <c:w val="0.778750000000001"/>
          <c:h val="0.209"/>
        </c:manualLayout>
      </c:layout>
      <c:lineChart>
        <c:grouping val="standard"/>
        <c:varyColors val="0"/>
        <c:ser>
          <c:idx val="0"/>
          <c:order val="0"/>
          <c:tx>
            <c:strRef>
              <c:f>资产负债表!#REF!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资产负债表!#REF!</c:f>
              <c:numCache>
                <c:formatCode>General</c:formatCode>
                <c:ptCount val="1"/>
                <c:pt idx="0">
                  <c:v>1</c:v>
                </c:pt>
              </c:numCache>
            </c:numRef>
          </c:val>
          <c:smooth val="0"/>
        </c:ser>
        <c:ser>
          <c:idx val="1"/>
          <c:order val="1"/>
          <c:tx>
            <c:strRef>
              <c:f>资产负债表!#REF!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832832"/>
        <c:axId val="85834368"/>
      </c:lineChart>
      <c:catAx>
        <c:axId val="85832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834368"/>
        <c:crosses val="autoZero"/>
        <c:auto val="1"/>
        <c:lblAlgn val="ctr"/>
        <c:lblOffset val="100"/>
        <c:noMultiLvlLbl val="0"/>
      </c:catAx>
      <c:valAx>
        <c:axId val="858343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83283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32070433436533"/>
          <c:y val="0.516512467191601"/>
        </c:manualLayout>
      </c:layout>
      <c:overlay val="0"/>
      <c:spPr>
        <a:noFill/>
        <a:ln w="9525">
          <a:noFill/>
        </a:ln>
        <a:effectLst/>
      </c:spPr>
    </c:title>
    <c:autoTitleDeleted val="0"/>
    <c:plotArea>
      <c:layout>
        <c:manualLayout>
          <c:layoutTarget val="inner"/>
          <c:xMode val="edge"/>
          <c:yMode val="edge"/>
          <c:x val="0.102"/>
          <c:y val="0.37325"/>
          <c:w val="0.79625"/>
          <c:h val="0.25375"/>
        </c:manualLayout>
      </c:layout>
      <c:lineChart>
        <c:grouping val="standard"/>
        <c:varyColors val="0"/>
        <c:ser>
          <c:idx val="0"/>
          <c:order val="0"/>
          <c:tx>
            <c:strRef>
              <c:f>资产负债表!#REF!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862656"/>
        <c:axId val="85901312"/>
      </c:lineChart>
      <c:catAx>
        <c:axId val="858626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01312"/>
        <c:crosses val="autoZero"/>
        <c:auto val="1"/>
        <c:lblAlgn val="ctr"/>
        <c:lblOffset val="100"/>
        <c:noMultiLvlLbl val="0"/>
      </c:catAx>
      <c:valAx>
        <c:axId val="8590131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86265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42232178732248"/>
          <c:y val="0.527262467191601"/>
        </c:manualLayout>
      </c:layout>
      <c:overlay val="0"/>
      <c:spPr>
        <a:noFill/>
        <a:ln w="9525">
          <a:noFill/>
        </a:ln>
        <a:effectLst/>
      </c:spPr>
    </c:title>
    <c:autoTitleDeleted val="0"/>
    <c:plotArea>
      <c:layout>
        <c:manualLayout>
          <c:layoutTarget val="inner"/>
          <c:xMode val="edge"/>
          <c:yMode val="edge"/>
          <c:x val="0.0345"/>
          <c:y val="0.388"/>
          <c:w val="0.81375"/>
          <c:h val="0.35825"/>
        </c:manualLayout>
      </c:layout>
      <c:lineChart>
        <c:grouping val="standard"/>
        <c:varyColors val="0"/>
        <c:ser>
          <c:idx val="0"/>
          <c:order val="0"/>
          <c:tx>
            <c:strRef>
              <c:f>资产负债表!#REF!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资产负债表!#REF!</c:f>
              <c:numCache>
                <c:formatCode>General</c:formatCode>
                <c:ptCount val="1"/>
                <c:pt idx="0">
                  <c:v>1</c:v>
                </c:pt>
              </c:numCache>
            </c:numRef>
          </c:val>
          <c:smooth val="0"/>
        </c:ser>
        <c:ser>
          <c:idx val="1"/>
          <c:order val="1"/>
          <c:tx>
            <c:strRef>
              <c:f>资产负债表!#REF!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991808"/>
        <c:axId val="85993344"/>
      </c:lineChart>
      <c:catAx>
        <c:axId val="859918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93344"/>
        <c:crosses val="autoZero"/>
        <c:auto val="1"/>
        <c:lblAlgn val="ctr"/>
        <c:lblOffset val="100"/>
        <c:noMultiLvlLbl val="0"/>
      </c:catAx>
      <c:valAx>
        <c:axId val="8599334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9180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14718973785684"/>
          <c:y val="0.484262467191601"/>
        </c:manualLayout>
      </c:layout>
      <c:overlay val="0"/>
      <c:spPr>
        <a:noFill/>
        <a:ln w="9525">
          <a:noFill/>
        </a:ln>
        <a:effectLst/>
      </c:spPr>
    </c:title>
    <c:autoTitleDeleted val="0"/>
    <c:plotArea>
      <c:layout>
        <c:manualLayout>
          <c:layoutTarget val="inner"/>
          <c:xMode val="edge"/>
          <c:yMode val="edge"/>
          <c:x val="0.12075"/>
          <c:y val="0.26875"/>
          <c:w val="0.8285"/>
          <c:h val="0.46275"/>
        </c:manualLayout>
      </c:layout>
      <c:lineChart>
        <c:grouping val="standard"/>
        <c:varyColors val="0"/>
        <c:ser>
          <c:idx val="0"/>
          <c:order val="0"/>
          <c:tx>
            <c:strRef>
              <c:f>资产负债表!#REF!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923328"/>
        <c:axId val="85924864"/>
      </c:lineChart>
      <c:catAx>
        <c:axId val="859233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24864"/>
        <c:crosses val="autoZero"/>
        <c:auto val="1"/>
        <c:lblAlgn val="ctr"/>
        <c:lblOffset val="100"/>
        <c:noMultiLvlLbl val="0"/>
      </c:catAx>
      <c:valAx>
        <c:axId val="859248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2332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42232178732248"/>
          <c:y val="0.527262467191601"/>
        </c:manualLayout>
      </c:layout>
      <c:overlay val="0"/>
      <c:spPr>
        <a:noFill/>
        <a:ln w="9525">
          <a:noFill/>
        </a:ln>
        <a:effectLst/>
      </c:spPr>
    </c:title>
    <c:autoTitleDeleted val="0"/>
    <c:plotArea>
      <c:layout>
        <c:manualLayout>
          <c:layoutTarget val="inner"/>
          <c:xMode val="edge"/>
          <c:yMode val="edge"/>
          <c:x val="0.0345"/>
          <c:y val="0.35825"/>
          <c:w val="0.81375"/>
          <c:h val="0.388"/>
        </c:manualLayout>
      </c:layout>
      <c:lineChart>
        <c:grouping val="standard"/>
        <c:varyColors val="0"/>
        <c:ser>
          <c:idx val="0"/>
          <c:order val="0"/>
          <c:tx>
            <c:strRef>
              <c:f>资产负债表!#REF!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资产负债表!#REF!</c:f>
              <c:numCache>
                <c:formatCode>General</c:formatCode>
                <c:ptCount val="1"/>
                <c:pt idx="0">
                  <c:v>1</c:v>
                </c:pt>
              </c:numCache>
            </c:numRef>
          </c:val>
          <c:smooth val="0"/>
        </c:ser>
        <c:ser>
          <c:idx val="1"/>
          <c:order val="1"/>
          <c:tx>
            <c:strRef>
              <c:f>资产负债表!#REF!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937536"/>
        <c:axId val="85943424"/>
      </c:lineChart>
      <c:catAx>
        <c:axId val="859375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43424"/>
        <c:crosses val="autoZero"/>
        <c:auto val="1"/>
        <c:lblAlgn val="ctr"/>
        <c:lblOffset val="100"/>
        <c:noMultiLvlLbl val="0"/>
      </c:catAx>
      <c:valAx>
        <c:axId val="859434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93753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100" b="0" i="0" u="none" strike="noStrike" kern="1200" baseline="0">
                <a:solidFill>
                  <a:srgbClr val="000000">
                    <a:alpha val="100000"/>
                  </a:srgbClr>
                </a:solidFill>
                <a:latin typeface="Times New Roman" panose="02020603050405020304" charset="-122"/>
                <a:ea typeface="Times New Roman" panose="02020603050405020304" charset="-122"/>
                <a:cs typeface="Times New Roman" panose="02020603050405020304" charset="-122"/>
              </a:defRPr>
            </a:pPr>
            <a:r>
              <a:t>销售收入、费用对比表</a:t>
            </a:r>
            <a:endParaRPr sz="100" b="0" i="0" u="none" strike="noStrike">
              <a:solidFill>
                <a:srgbClr val="000000">
                  <a:alpha val="100000"/>
                </a:srgbClr>
              </a:solidFill>
              <a:latin typeface="Times New Roman" panose="02020603050405020304" charset="-122"/>
              <a:ea typeface="Times New Roman" panose="02020603050405020304" charset="-122"/>
              <a:cs typeface="Times New Roman" panose="02020603050405020304" charset="-122"/>
            </a:endParaRPr>
          </a:p>
        </c:rich>
      </c:tx>
      <c:layout/>
      <c:overlay val="0"/>
      <c:spPr>
        <a:noFill/>
        <a:ln w="3175">
          <a:noFill/>
        </a:ln>
        <a:effectLst/>
      </c:spPr>
    </c:title>
    <c:autoTitleDeleted val="0"/>
    <c:plotArea>
      <c:layout>
        <c:manualLayout>
          <c:layoutTarget val="inner"/>
          <c:xMode val="edge"/>
          <c:yMode val="edge"/>
          <c:x val="0.0165"/>
          <c:y val="0.0455"/>
          <c:w val="0.9365"/>
          <c:h val="0.92825"/>
        </c:manualLayout>
      </c:layout>
      <c:lineChart>
        <c:grouping val="standard"/>
        <c:varyColors val="0"/>
        <c:ser>
          <c:idx val="0"/>
          <c:order val="0"/>
          <c:tx>
            <c:strRef>
              <c:f>收支对比!$B$3</c:f>
              <c:strCache>
                <c:ptCount val="1"/>
                <c:pt idx="0">
                  <c:v>本年度</c:v>
                </c:pt>
              </c:strCache>
            </c:strRef>
          </c:tx>
          <c:spPr>
            <a:ln w="12700" cap="rnd" cmpd="sng" algn="ctr">
              <a:solidFill>
                <a:srgbClr val="000080"/>
              </a:solidFill>
              <a:prstDash val="solid"/>
              <a:round/>
            </a:ln>
            <a:effectLst/>
          </c:spPr>
          <c:marker>
            <c:symbol val="none"/>
          </c:marker>
          <c:dLbls>
            <c:delete val="1"/>
          </c:dLbls>
          <c:val>
            <c:numRef>
              <c:f>收支对比!$B$4:$B$5</c:f>
              <c:numCache>
                <c:formatCode>_ * #,##0.00_ ;_ * \-#,##0.00_ ;_ * "-"??_ ;_ @_ </c:formatCode>
                <c:ptCount val="2"/>
                <c:pt idx="0">
                  <c:v>300000</c:v>
                </c:pt>
                <c:pt idx="1">
                  <c:v>55552</c:v>
                </c:pt>
              </c:numCache>
            </c:numRef>
          </c:val>
          <c:smooth val="0"/>
        </c:ser>
        <c:ser>
          <c:idx val="1"/>
          <c:order val="1"/>
          <c:tx>
            <c:strRef>
              <c:f>收支对比!$E$3</c:f>
              <c:strCache>
                <c:ptCount val="1"/>
                <c:pt idx="0">
                  <c:v>增减比率</c:v>
                </c:pt>
              </c:strCache>
            </c:strRef>
          </c:tx>
          <c:spPr>
            <a:ln w="12700" cap="rnd" cmpd="sng" algn="ctr">
              <a:solidFill>
                <a:srgbClr val="FF00FF"/>
              </a:solidFill>
              <a:prstDash val="solid"/>
              <a:round/>
            </a:ln>
            <a:effectLst/>
          </c:spPr>
          <c:marker>
            <c:symbol val="none"/>
          </c:marker>
          <c:dLbls>
            <c:delete val="1"/>
          </c:dLbls>
          <c:val>
            <c:numRef>
              <c:f>收支对比!$E$4:$E$5</c:f>
              <c:numCache>
                <c:formatCode>0.0%</c:formatCode>
                <c:ptCount val="2"/>
                <c:pt idx="0">
                  <c:v>0.875</c:v>
                </c:pt>
                <c:pt idx="1">
                  <c:v>0.612961296129613</c:v>
                </c:pt>
              </c:numCache>
            </c:numRef>
          </c:val>
          <c:smooth val="0"/>
        </c:ser>
        <c:dLbls>
          <c:showLegendKey val="0"/>
          <c:showVal val="0"/>
          <c:showCatName val="0"/>
          <c:showSerName val="0"/>
          <c:showPercent val="0"/>
          <c:showBubbleSize val="0"/>
        </c:dLbls>
        <c:marker val="0"/>
        <c:smooth val="0"/>
        <c:axId val="81511552"/>
        <c:axId val="81513088"/>
      </c:lineChart>
      <c:catAx>
        <c:axId val="81511552"/>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1513088"/>
        <c:crosses val="autoZero"/>
        <c:auto val="1"/>
        <c:lblAlgn val="ctr"/>
        <c:lblOffset val="100"/>
        <c:noMultiLvlLbl val="0"/>
      </c:catAx>
      <c:valAx>
        <c:axId val="81513088"/>
        <c:scaling>
          <c:orientation val="minMax"/>
        </c:scaling>
        <c:delete val="0"/>
        <c:axPos val="l"/>
        <c:majorGridlines>
          <c:spPr>
            <a:ln w="3175" cap="flat" cmpd="sng" algn="ctr">
              <a:solidFill>
                <a:srgbClr val="000000">
                  <a:alpha val="100000"/>
                </a:srgbClr>
              </a:solidFill>
              <a:prstDash val="solid"/>
              <a:round/>
            </a:ln>
            <a:effectLst/>
          </c:spPr>
        </c:majorGridlines>
        <c:numFmt formatCode="_ * #,##0.00_ ;_ * \-#,##0.00_ ;_ * &quot;-&quot;??_ ;_ @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151155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14718973785684"/>
          <c:y val="0.484262467191601"/>
        </c:manualLayout>
      </c:layout>
      <c:overlay val="0"/>
      <c:spPr>
        <a:noFill/>
        <a:ln w="9525">
          <a:noFill/>
        </a:ln>
        <a:effectLst/>
      </c:spPr>
    </c:title>
    <c:autoTitleDeleted val="0"/>
    <c:plotArea>
      <c:layout>
        <c:manualLayout>
          <c:layoutTarget val="inner"/>
          <c:xMode val="edge"/>
          <c:yMode val="edge"/>
          <c:x val="0.1175"/>
          <c:y val="0.25375"/>
          <c:w val="0.83175"/>
          <c:h val="0.4925"/>
        </c:manualLayout>
      </c:layout>
      <c:lineChart>
        <c:grouping val="standard"/>
        <c:varyColors val="0"/>
        <c:ser>
          <c:idx val="0"/>
          <c:order val="0"/>
          <c:tx>
            <c:strRef>
              <c:f>资产负债表!#REF!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057728"/>
        <c:axId val="86059264"/>
      </c:lineChart>
      <c:catAx>
        <c:axId val="8605772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059264"/>
        <c:crosses val="autoZero"/>
        <c:auto val="1"/>
        <c:lblAlgn val="ctr"/>
        <c:lblOffset val="100"/>
        <c:noMultiLvlLbl val="0"/>
      </c:catAx>
      <c:valAx>
        <c:axId val="860592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05772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25"/>
          <c:y val="0.145"/>
          <c:w val="0.8845"/>
          <c:h val="0.70475"/>
        </c:manualLayout>
      </c:layout>
      <c:barChart>
        <c:barDir val="col"/>
        <c:grouping val="clustered"/>
        <c:varyColors val="0"/>
        <c:ser>
          <c:idx val="0"/>
          <c:order val="0"/>
          <c:tx>
            <c:strRef>
              <c:f>[2]总生产成本年度比较表!$B$3</c:f>
              <c:strCache>
                <c:ptCount val="1"/>
                <c:pt idx="0">
                  <c:v>上年数</c:v>
                </c:pt>
              </c:strCache>
            </c:strRef>
          </c:tx>
          <c:spPr>
            <a:solidFill>
              <a:srgbClr val="9999FF"/>
            </a:solidFill>
            <a:ln w="12700">
              <a:solidFill>
                <a:srgbClr val="000000"/>
              </a:solidFill>
            </a:ln>
            <a:effectLst/>
          </c:spPr>
          <c:invertIfNegative val="0"/>
          <c:dLbls>
            <c:delete val="1"/>
          </c:dLbls>
          <c:cat>
            <c:strRef>
              <c:f>[2]总生产成本年度比较表!$A$4:$A$7</c:f>
              <c:strCache>
                <c:ptCount val="4"/>
                <c:pt idx="0">
                  <c:v>直接材料</c:v>
                </c:pt>
                <c:pt idx="1">
                  <c:v>直接人工</c:v>
                </c:pt>
                <c:pt idx="2">
                  <c:v>制造费用</c:v>
                </c:pt>
                <c:pt idx="3">
                  <c:v>其他</c:v>
                </c:pt>
              </c:strCache>
            </c:strRef>
          </c:cat>
          <c:val>
            <c:numRef>
              <c:f>[2]总生产成本年度比较表!$B$4:$B$7</c:f>
              <c:numCache>
                <c:formatCode>General</c:formatCode>
                <c:ptCount val="4"/>
              </c:numCache>
            </c:numRef>
          </c:val>
        </c:ser>
        <c:ser>
          <c:idx val="1"/>
          <c:order val="1"/>
          <c:tx>
            <c:strRef>
              <c:f>[2]总生产成本年度比较表!$C$3</c:f>
              <c:strCache>
                <c:ptCount val="1"/>
                <c:pt idx="0">
                  <c:v>本年数</c:v>
                </c:pt>
              </c:strCache>
            </c:strRef>
          </c:tx>
          <c:spPr>
            <a:solidFill>
              <a:srgbClr val="993366"/>
            </a:solidFill>
            <a:ln w="12700">
              <a:solidFill>
                <a:srgbClr val="000000"/>
              </a:solidFill>
            </a:ln>
            <a:effectLst/>
          </c:spPr>
          <c:invertIfNegative val="0"/>
          <c:dLbls>
            <c:delete val="1"/>
          </c:dLbls>
          <c:cat>
            <c:strRef>
              <c:f>[2]总生产成本年度比较表!$A$4:$A$7</c:f>
              <c:strCache>
                <c:ptCount val="4"/>
                <c:pt idx="0">
                  <c:v>直接材料</c:v>
                </c:pt>
                <c:pt idx="1">
                  <c:v>直接人工</c:v>
                </c:pt>
                <c:pt idx="2">
                  <c:v>制造费用</c:v>
                </c:pt>
                <c:pt idx="3">
                  <c:v>其他</c:v>
                </c:pt>
              </c:strCache>
            </c:strRef>
          </c:cat>
          <c:val>
            <c:numRef>
              <c:f>[2]总生产成本年度比较表!$C$4:$C$7</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150"/>
        <c:axId val="86088320"/>
        <c:axId val="86110592"/>
      </c:barChart>
      <c:catAx>
        <c:axId val="860883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110592"/>
        <c:crosses val="autoZero"/>
        <c:auto val="1"/>
        <c:lblAlgn val="ctr"/>
        <c:lblOffset val="100"/>
        <c:noMultiLvlLbl val="0"/>
      </c:catAx>
      <c:valAx>
        <c:axId val="8611059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08832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
          <c:y val="0.10875"/>
          <c:w val="0.827"/>
          <c:h val="0.741"/>
        </c:manualLayout>
      </c:layout>
      <c:barChart>
        <c:barDir val="col"/>
        <c:grouping val="clustered"/>
        <c:varyColors val="0"/>
        <c:ser>
          <c:idx val="0"/>
          <c:order val="0"/>
          <c:tx>
            <c:strRef>
              <c:f>[2]总生产成本年度比较表!$H$3</c:f>
              <c:strCache>
                <c:ptCount val="1"/>
                <c:pt idx="0">
                  <c:v>上年结构</c:v>
                </c:pt>
              </c:strCache>
            </c:strRef>
          </c:tx>
          <c:spPr>
            <a:solidFill>
              <a:srgbClr val="9999FF"/>
            </a:solidFill>
            <a:ln w="12700">
              <a:solidFill>
                <a:srgbClr val="000000"/>
              </a:solidFill>
            </a:ln>
            <a:effectLst/>
          </c:spPr>
          <c:invertIfNegative val="0"/>
          <c:dLbls>
            <c:delete val="1"/>
          </c:dLbls>
          <c:cat>
            <c:strRef>
              <c:f>[2]总生产成本年度比较表!$A$4:$A$7</c:f>
              <c:strCache>
                <c:ptCount val="4"/>
                <c:pt idx="0">
                  <c:v>直接材料</c:v>
                </c:pt>
                <c:pt idx="1">
                  <c:v>直接人工</c:v>
                </c:pt>
                <c:pt idx="2">
                  <c:v>制造费用</c:v>
                </c:pt>
                <c:pt idx="3">
                  <c:v>其他</c:v>
                </c:pt>
              </c:strCache>
            </c:strRef>
          </c:cat>
          <c:val>
            <c:numRef>
              <c:f>[2]总生产成本年度比较表!$H$4:$H$7</c:f>
              <c:numCache>
                <c:formatCode>General</c:formatCode>
                <c:ptCount val="4"/>
                <c:pt idx="0">
                  <c:v>0</c:v>
                </c:pt>
                <c:pt idx="1">
                  <c:v>0</c:v>
                </c:pt>
                <c:pt idx="2">
                  <c:v>0</c:v>
                </c:pt>
                <c:pt idx="3">
                  <c:v>0</c:v>
                </c:pt>
              </c:numCache>
            </c:numRef>
          </c:val>
        </c:ser>
        <c:ser>
          <c:idx val="1"/>
          <c:order val="1"/>
          <c:tx>
            <c:strRef>
              <c:f>[2]总生产成本年度比较表!$I$3</c:f>
              <c:strCache>
                <c:ptCount val="1"/>
                <c:pt idx="0">
                  <c:v>本年结构</c:v>
                </c:pt>
              </c:strCache>
            </c:strRef>
          </c:tx>
          <c:spPr>
            <a:solidFill>
              <a:srgbClr val="993366"/>
            </a:solidFill>
            <a:ln w="12700">
              <a:solidFill>
                <a:srgbClr val="000000"/>
              </a:solidFill>
            </a:ln>
            <a:effectLst/>
          </c:spPr>
          <c:invertIfNegative val="0"/>
          <c:dLbls>
            <c:delete val="1"/>
          </c:dLbls>
          <c:cat>
            <c:strRef>
              <c:f>[2]总生产成本年度比较表!$A$4:$A$7</c:f>
              <c:strCache>
                <c:ptCount val="4"/>
                <c:pt idx="0">
                  <c:v>直接材料</c:v>
                </c:pt>
                <c:pt idx="1">
                  <c:v>直接人工</c:v>
                </c:pt>
                <c:pt idx="2">
                  <c:v>制造费用</c:v>
                </c:pt>
                <c:pt idx="3">
                  <c:v>其他</c:v>
                </c:pt>
              </c:strCache>
            </c:strRef>
          </c:cat>
          <c:val>
            <c:numRef>
              <c:f>[2]总生产成本年度比较表!$I$4:$I$7</c:f>
              <c:numCache>
                <c:formatCode>General</c:formatCode>
                <c:ptCount val="4"/>
                <c:pt idx="0">
                  <c:v>0</c:v>
                </c:pt>
                <c:pt idx="1">
                  <c:v>0</c:v>
                </c:pt>
                <c:pt idx="2">
                  <c:v>0</c:v>
                </c:pt>
                <c:pt idx="3">
                  <c:v>0</c:v>
                </c:pt>
              </c:numCache>
            </c:numRef>
          </c:val>
        </c:ser>
        <c:dLbls>
          <c:showLegendKey val="0"/>
          <c:showVal val="0"/>
          <c:showCatName val="0"/>
          <c:showSerName val="0"/>
          <c:showPercent val="0"/>
          <c:showBubbleSize val="0"/>
        </c:dLbls>
        <c:gapWidth val="150"/>
        <c:axId val="86135168"/>
        <c:axId val="86136704"/>
      </c:barChart>
      <c:catAx>
        <c:axId val="861351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136704"/>
        <c:crosses val="autoZero"/>
        <c:auto val="1"/>
        <c:lblAlgn val="ctr"/>
        <c:lblOffset val="100"/>
        <c:noMultiLvlLbl val="0"/>
      </c:catAx>
      <c:valAx>
        <c:axId val="861367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13516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31"/>
          <c:y val="0"/>
          <c:w val="0.60525"/>
          <c:h val="0.0852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75"/>
          <c:y val="0.2135"/>
          <c:w val="0.85975"/>
          <c:h val="0.552"/>
        </c:manualLayout>
      </c:layout>
      <c:lineChart>
        <c:grouping val="standard"/>
        <c:varyColors val="0"/>
        <c:ser>
          <c:idx val="0"/>
          <c:order val="0"/>
          <c:tx>
            <c:strRef>
              <c:f>"本期发生"</c:f>
              <c:strCache>
                <c:ptCount val="1"/>
                <c:pt idx="0">
                  <c:v>本期发生</c:v>
                </c:pt>
              </c:strCache>
            </c:strRef>
          </c:tx>
          <c:spPr>
            <a:ln w="12700" cap="rnd" cmpd="sng" algn="ctr">
              <a:solidFill>
                <a:srgbClr val="000080"/>
              </a:solidFill>
              <a:prstDash val="solid"/>
              <a:round/>
            </a:ln>
            <a:effectLst/>
          </c:spPr>
          <c:marker>
            <c:symbol val="none"/>
          </c:marker>
          <c:dLbls>
            <c:delete val="1"/>
          </c:dLbls>
          <c:val>
            <c:numRef>
              <c:f>[2]总生产成本分析表!$B$9:$M$9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[2]总生产成本分析表!$A$10</c:f>
              <c:strCache>
                <c:ptCount val="1"/>
                <c:pt idx="0">
                  <c:v>本期转出</c:v>
                </c:pt>
              </c:strCache>
            </c:strRef>
          </c:tx>
          <c:spPr>
            <a:ln w="12700" cap="rnd" cmpd="sng" algn="ctr">
              <a:solidFill>
                <a:srgbClr val="FF00FF"/>
              </a:solidFill>
              <a:prstDash val="solid"/>
              <a:round/>
            </a:ln>
            <a:effectLst/>
          </c:spPr>
          <c:marker>
            <c:symbol val="none"/>
          </c:marker>
          <c:dLbls>
            <c:delete val="1"/>
          </c:dLbls>
          <c:val>
            <c:numRef>
              <c:f>[2]总生产成本分析表!$B$10:$M$10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6181760"/>
        <c:axId val="86183296"/>
      </c:lineChart>
      <c:catAx>
        <c:axId val="861817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183296"/>
        <c:crosses val="autoZero"/>
        <c:auto val="1"/>
        <c:lblAlgn val="ctr"/>
        <c:lblOffset val="100"/>
        <c:noMultiLvlLbl val="0"/>
      </c:catAx>
      <c:valAx>
        <c:axId val="8618329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181760"/>
        <c:crosses val="autoZero"/>
        <c:crossBetween val="between"/>
      </c:valAx>
      <c:spPr>
        <a:solidFill>
          <a:srgbClr val="C0C0C0">
            <a:alpha val="100000"/>
          </a:srgbClr>
        </a:solidFill>
        <a:ln w="12700">
          <a:solidFill>
            <a:srgbClr val="808080">
              <a:alpha val="100000"/>
            </a:srgbClr>
          </a:solidFill>
          <a:prstDash val="solid"/>
        </a:ln>
        <a:effectLst/>
      </c:spPr>
    </c:plotArea>
    <c:legend>
      <c:legendPos val="t"/>
      <c:layout>
        <c:manualLayout>
          <c:xMode val="edge"/>
          <c:yMode val="edge"/>
          <c:x val="0.236"/>
          <c:y val="0.01125"/>
          <c:w val="0.666668063754716"/>
          <c:h val="0.09901037965259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5"/>
          <c:y val="0.1895"/>
          <c:w val="0.85625"/>
          <c:h val="0.59475"/>
        </c:manualLayout>
      </c:layout>
      <c:lineChart>
        <c:grouping val="standard"/>
        <c:varyColors val="0"/>
        <c:ser>
          <c:idx val="0"/>
          <c:order val="0"/>
          <c:tx>
            <c:strRef>
              <c:f>"本期发生"</c:f>
              <c:strCache>
                <c:ptCount val="1"/>
                <c:pt idx="0">
                  <c:v>本期发生</c:v>
                </c:pt>
              </c:strCache>
            </c:strRef>
          </c:tx>
          <c:spPr>
            <a:ln w="12700" cap="rnd" cmpd="sng" algn="ctr">
              <a:solidFill>
                <a:srgbClr val="000080"/>
              </a:solidFill>
              <a:prstDash val="solid"/>
              <a:round/>
            </a:ln>
            <a:effectLst/>
          </c:spPr>
          <c:marker>
            <c:symbol val="none"/>
          </c:marker>
          <c:dLbls>
            <c:delete val="1"/>
          </c:dLbls>
          <c:val>
            <c:numRef>
              <c:f>[2]总生产成本分析表!$B$9:$M$9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[2]总生产成本分析表!$A$11</c:f>
              <c:strCache>
                <c:ptCount val="1"/>
                <c:pt idx="0">
                  <c:v>期末数</c:v>
                </c:pt>
              </c:strCache>
            </c:strRef>
          </c:tx>
          <c:spPr>
            <a:ln w="12700" cap="rnd" cmpd="sng" algn="ctr">
              <a:solidFill>
                <a:srgbClr val="FF00FF"/>
              </a:solidFill>
              <a:prstDash val="solid"/>
              <a:round/>
            </a:ln>
            <a:effectLst/>
          </c:spPr>
          <c:marker>
            <c:symbol val="none"/>
          </c:marker>
          <c:dLbls>
            <c:delete val="1"/>
          </c:dLbls>
          <c:val>
            <c:numRef>
              <c:f>[2]总生产成本分析表!$B$11:$M$11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6211968"/>
        <c:axId val="86230144"/>
      </c:lineChart>
      <c:catAx>
        <c:axId val="862119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230144"/>
        <c:crosses val="autoZero"/>
        <c:auto val="1"/>
        <c:lblAlgn val="ctr"/>
        <c:lblOffset val="100"/>
        <c:noMultiLvlLbl val="0"/>
      </c:catAx>
      <c:valAx>
        <c:axId val="8623014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211968"/>
        <c:crosses val="autoZero"/>
        <c:crossBetween val="between"/>
      </c:valAx>
      <c:spPr>
        <a:solidFill>
          <a:srgbClr val="C0C0C0">
            <a:alpha val="100000"/>
          </a:srgbClr>
        </a:solidFill>
        <a:ln w="12700">
          <a:solidFill>
            <a:srgbClr val="808080">
              <a:alpha val="100000"/>
            </a:srgbClr>
          </a:solidFill>
          <a:prstDash val="solid"/>
        </a:ln>
        <a:effectLst/>
      </c:spPr>
    </c:plotArea>
    <c:legend>
      <c:legendPos val="t"/>
      <c:layout>
        <c:manualLayout>
          <c:xMode val="edge"/>
          <c:yMode val="edge"/>
          <c:x val="0.33975"/>
          <c:y val="0.00025"/>
          <c:w val="0.434174114844005"/>
          <c:h val="0.0933335611984731"/>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7"/>
          <c:h val="0.209"/>
        </c:manualLayout>
      </c:layout>
      <c:lineChart>
        <c:grouping val="standard"/>
        <c:varyColors val="0"/>
        <c:ser>
          <c:idx val="0"/>
          <c:order val="0"/>
          <c:tx>
            <c:strRef>
              <c:f>结构比!#REF!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结构比!#REF!</c:f>
              <c:numCache>
                <c:formatCode>General</c:formatCode>
                <c:ptCount val="1"/>
                <c:pt idx="0">
                  <c:v>1</c:v>
                </c:pt>
              </c:numCache>
            </c:numRef>
          </c:val>
          <c:smooth val="0"/>
        </c:ser>
        <c:ser>
          <c:idx val="1"/>
          <c:order val="1"/>
          <c:tx>
            <c:strRef>
              <c:f>结构比!#REF!</c:f>
              <c:strCache>
                <c:ptCount val="1"/>
                <c:pt idx="0">
                  <c:v/>
                </c:pt>
              </c:strCache>
            </c:strRef>
          </c:tx>
          <c:spPr>
            <a:ln w="12700" cap="rnd" cmpd="sng" algn="ctr">
              <a:solidFill>
                <a:srgbClr val="FF00FF"/>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476288"/>
        <c:axId val="86477824"/>
      </c:lineChart>
      <c:catAx>
        <c:axId val="864762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477824"/>
        <c:crosses val="autoZero"/>
        <c:auto val="1"/>
        <c:lblAlgn val="ctr"/>
        <c:lblOffset val="100"/>
        <c:noMultiLvlLbl val="0"/>
      </c:catAx>
      <c:valAx>
        <c:axId val="864778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47628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45073529411765"/>
          <c:y val="0.516512467191601"/>
        </c:manualLayout>
      </c:layout>
      <c:overlay val="0"/>
      <c:spPr>
        <a:noFill/>
        <a:ln w="9525">
          <a:noFill/>
        </a:ln>
        <a:effectLst/>
      </c:spPr>
    </c:title>
    <c:autoTitleDeleted val="0"/>
    <c:plotArea>
      <c:layout>
        <c:manualLayout>
          <c:layoutTarget val="inner"/>
          <c:xMode val="edge"/>
          <c:yMode val="edge"/>
          <c:x val="0.0890000000000001"/>
          <c:y val="0.37325"/>
          <c:w val="0.81725"/>
          <c:h val="0.25375"/>
        </c:manualLayout>
      </c:layout>
      <c:lineChart>
        <c:grouping val="standard"/>
        <c:varyColors val="0"/>
        <c:ser>
          <c:idx val="0"/>
          <c:order val="0"/>
          <c:tx>
            <c:strRef>
              <c:f>结构比!#REF!</c:f>
              <c:strCache>
                <c:ptCount val="1"/>
                <c:pt idx="0">
                  <c:v/>
                </c:pt>
              </c:strCache>
            </c:strRef>
          </c:tx>
          <c:spPr>
            <a:ln w="12700" cap="rnd" cmpd="sng" algn="ctr">
              <a:solidFill>
                <a:srgbClr val="000080"/>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497920"/>
        <c:axId val="86577536"/>
      </c:lineChart>
      <c:catAx>
        <c:axId val="864979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577536"/>
        <c:crosses val="autoZero"/>
        <c:auto val="1"/>
        <c:lblAlgn val="ctr"/>
        <c:lblOffset val="100"/>
        <c:noMultiLvlLbl val="0"/>
      </c:catAx>
      <c:valAx>
        <c:axId val="865775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49792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393584687137156"/>
          <c:y val="0.527262467191601"/>
        </c:manualLayout>
      </c:layout>
      <c:overlay val="0"/>
      <c:spPr>
        <a:noFill/>
        <a:ln w="9525">
          <a:noFill/>
        </a:ln>
        <a:effectLst/>
      </c:spPr>
    </c:title>
    <c:autoTitleDeleted val="0"/>
    <c:plotArea>
      <c:layout>
        <c:manualLayout>
          <c:layoutTarget val="inner"/>
          <c:xMode val="edge"/>
          <c:yMode val="edge"/>
          <c:x val="0.05"/>
          <c:y val="0.388"/>
          <c:w val="0.79225"/>
          <c:h val="0.35825"/>
        </c:manualLayout>
      </c:layout>
      <c:lineChart>
        <c:grouping val="standard"/>
        <c:varyColors val="0"/>
        <c:ser>
          <c:idx val="0"/>
          <c:order val="0"/>
          <c:tx>
            <c:strRef>
              <c:f>结构比!#REF!</c:f>
              <c:strCache>
                <c:ptCount val="1"/>
                <c:pt idx="0">
                  <c:v/>
                </c:pt>
              </c:strCache>
            </c:strRef>
          </c:tx>
          <c:spPr>
            <a:ln w="12700" cap="rnd" cmpd="sng" algn="ctr">
              <a:solidFill>
                <a:srgbClr val="000080"/>
              </a:solidFill>
              <a:prstDash val="solid"/>
              <a:round/>
            </a:ln>
            <a:effectLst/>
          </c:spPr>
          <c:marker>
            <c:symbol val="none"/>
          </c:marker>
          <c:dLbls>
            <c:delete val="1"/>
          </c:dLbls>
          <c:val>
            <c:numRef>
              <c:f>结构比!#REF!</c:f>
              <c:numCache>
                <c:formatCode>General</c:formatCode>
                <c:ptCount val="1"/>
                <c:pt idx="0">
                  <c:v>1</c:v>
                </c:pt>
              </c:numCache>
            </c:numRef>
          </c:val>
          <c:smooth val="0"/>
        </c:ser>
        <c:ser>
          <c:idx val="1"/>
          <c:order val="1"/>
          <c:tx>
            <c:strRef>
              <c:f>结构比!#REF!</c:f>
              <c:strCache>
                <c:ptCount val="1"/>
                <c:pt idx="0">
                  <c:v/>
                </c:pt>
              </c:strCache>
            </c:strRef>
          </c:tx>
          <c:spPr>
            <a:ln w="12700" cap="rnd" cmpd="sng" algn="ctr">
              <a:solidFill>
                <a:srgbClr val="FF00FF"/>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610688"/>
        <c:axId val="86612224"/>
      </c:lineChart>
      <c:catAx>
        <c:axId val="866106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12224"/>
        <c:crosses val="autoZero"/>
        <c:auto val="1"/>
        <c:lblAlgn val="ctr"/>
        <c:lblOffset val="100"/>
        <c:noMultiLvlLbl val="0"/>
      </c:catAx>
      <c:valAx>
        <c:axId val="866122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1068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33227011494253"/>
          <c:y val="0.484262467191601"/>
        </c:manualLayout>
      </c:layout>
      <c:overlay val="0"/>
      <c:spPr>
        <a:noFill/>
        <a:ln w="9525">
          <a:noFill/>
        </a:ln>
        <a:effectLst/>
      </c:spPr>
    </c:title>
    <c:autoTitleDeleted val="0"/>
    <c:plotArea>
      <c:layout>
        <c:manualLayout>
          <c:layoutTarget val="inner"/>
          <c:xMode val="edge"/>
          <c:yMode val="edge"/>
          <c:x val="0.101"/>
          <c:y val="0.26875"/>
          <c:w val="0.8545"/>
          <c:h val="0.46275"/>
        </c:manualLayout>
      </c:layout>
      <c:lineChart>
        <c:grouping val="standard"/>
        <c:varyColors val="0"/>
        <c:ser>
          <c:idx val="0"/>
          <c:order val="0"/>
          <c:tx>
            <c:strRef>
              <c:f>结构比!#REF!</c:f>
              <c:strCache>
                <c:ptCount val="1"/>
                <c:pt idx="0">
                  <c:v/>
                </c:pt>
              </c:strCache>
            </c:strRef>
          </c:tx>
          <c:spPr>
            <a:ln w="12700" cap="rnd" cmpd="sng" algn="ctr">
              <a:solidFill>
                <a:srgbClr val="000080"/>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525824"/>
        <c:axId val="86527360"/>
      </c:lineChart>
      <c:catAx>
        <c:axId val="865258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527360"/>
        <c:crosses val="autoZero"/>
        <c:auto val="1"/>
        <c:lblAlgn val="ctr"/>
        <c:lblOffset val="100"/>
        <c:noMultiLvlLbl val="0"/>
      </c:catAx>
      <c:valAx>
        <c:axId val="865273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52582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Mode val="edge"/>
          <c:yMode val="edge"/>
          <c:x val="0.393584687137156"/>
          <c:y val="0.527262467191601"/>
        </c:manualLayout>
      </c:layout>
      <c:overlay val="0"/>
      <c:spPr>
        <a:noFill/>
        <a:ln w="9525">
          <a:noFill/>
        </a:ln>
        <a:effectLst/>
      </c:spPr>
    </c:title>
    <c:autoTitleDeleted val="0"/>
    <c:plotArea>
      <c:layout>
        <c:manualLayout>
          <c:layoutTarget val="inner"/>
          <c:xMode val="edge"/>
          <c:yMode val="edge"/>
          <c:x val="0.05"/>
          <c:y val="0.35825"/>
          <c:w val="0.79225"/>
          <c:h val="0.388"/>
        </c:manualLayout>
      </c:layout>
      <c:lineChart>
        <c:grouping val="standard"/>
        <c:varyColors val="0"/>
        <c:ser>
          <c:idx val="0"/>
          <c:order val="0"/>
          <c:tx>
            <c:strRef>
              <c:f>结构比!#REF!</c:f>
              <c:strCache>
                <c:ptCount val="1"/>
                <c:pt idx="0">
                  <c:v/>
                </c:pt>
              </c:strCache>
            </c:strRef>
          </c:tx>
          <c:spPr>
            <a:ln w="12700" cap="rnd" cmpd="sng" algn="ctr">
              <a:solidFill>
                <a:srgbClr val="000080"/>
              </a:solidFill>
              <a:prstDash val="solid"/>
              <a:round/>
            </a:ln>
            <a:effectLst/>
          </c:spPr>
          <c:marker>
            <c:symbol val="none"/>
          </c:marker>
          <c:dLbls>
            <c:delete val="1"/>
          </c:dLbls>
          <c:val>
            <c:numRef>
              <c:f>结构比!#REF!</c:f>
              <c:numCache>
                <c:formatCode>General</c:formatCode>
                <c:ptCount val="1"/>
                <c:pt idx="0">
                  <c:v>1</c:v>
                </c:pt>
              </c:numCache>
            </c:numRef>
          </c:val>
          <c:smooth val="0"/>
        </c:ser>
        <c:ser>
          <c:idx val="1"/>
          <c:order val="1"/>
          <c:tx>
            <c:strRef>
              <c:f>结构比!#REF!</c:f>
              <c:strCache>
                <c:ptCount val="1"/>
                <c:pt idx="0">
                  <c:v/>
                </c:pt>
              </c:strCache>
            </c:strRef>
          </c:tx>
          <c:spPr>
            <a:ln w="12700" cap="rnd" cmpd="sng" algn="ctr">
              <a:solidFill>
                <a:srgbClr val="FF00FF"/>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642688"/>
        <c:axId val="86644224"/>
      </c:lineChart>
      <c:catAx>
        <c:axId val="866426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44224"/>
        <c:crosses val="autoZero"/>
        <c:auto val="1"/>
        <c:lblAlgn val="ctr"/>
        <c:lblOffset val="100"/>
        <c:noMultiLvlLbl val="0"/>
      </c:catAx>
      <c:valAx>
        <c:axId val="866442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4268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2167530224525"/>
          <c:y val="0.0620267175572518"/>
          <c:w val="0.8145"/>
          <c:h val="0.8735"/>
        </c:manualLayout>
      </c:layout>
      <c:barChart>
        <c:barDir val="col"/>
        <c:grouping val="clustered"/>
        <c:varyColors val="0"/>
        <c:ser>
          <c:idx val="0"/>
          <c:order val="0"/>
          <c:tx>
            <c:strRef>
              <c:f>收支对比!$B$3</c:f>
              <c:strCache>
                <c:ptCount val="1"/>
                <c:pt idx="0">
                  <c:v>本年度</c:v>
                </c:pt>
              </c:strCache>
            </c:strRef>
          </c:tx>
          <c:spPr>
            <a:solidFill>
              <a:srgbClr val="0000FF">
                <a:alpha val="100000"/>
              </a:srgbClr>
            </a:solidFill>
            <a:ln w="12700">
              <a:solidFill>
                <a:srgbClr val="0000FF">
                  <a:alpha val="100000"/>
                </a:srgbClr>
              </a:solidFill>
              <a:prstDash val="solid"/>
            </a:ln>
            <a:effectLst/>
          </c:spPr>
          <c:invertIfNegative val="0"/>
          <c:dLbls>
            <c:delete val="1"/>
          </c:dLbls>
          <c:cat>
            <c:strRef>
              <c:f>收支对比!$A$4:$A$7</c:f>
              <c:strCache>
                <c:ptCount val="4"/>
                <c:pt idx="0">
                  <c:v>营业收入</c:v>
                </c:pt>
                <c:pt idx="1">
                  <c:v>营业成本</c:v>
                </c:pt>
                <c:pt idx="2">
                  <c:v>期间费用</c:v>
                </c:pt>
                <c:pt idx="3">
                  <c:v>税金及附加</c:v>
                </c:pt>
              </c:strCache>
            </c:strRef>
          </c:cat>
          <c:val>
            <c:numRef>
              <c:f>收支对比!$B$4:$B$7</c:f>
              <c:numCache>
                <c:formatCode>_ * #,##0.00_ ;_ * \-#,##0.00_ ;_ * "-"??_ ;_ @_ </c:formatCode>
                <c:ptCount val="4"/>
                <c:pt idx="0">
                  <c:v>300000</c:v>
                </c:pt>
                <c:pt idx="1">
                  <c:v>55552</c:v>
                </c:pt>
                <c:pt idx="2">
                  <c:v>83555</c:v>
                </c:pt>
                <c:pt idx="3">
                  <c:v>1334</c:v>
                </c:pt>
              </c:numCache>
            </c:numRef>
          </c:val>
        </c:ser>
        <c:ser>
          <c:idx val="1"/>
          <c:order val="1"/>
          <c:tx>
            <c:strRef>
              <c:f>收支对比!$C$3</c:f>
              <c:strCache>
                <c:ptCount val="1"/>
                <c:pt idx="0">
                  <c:v>上年度</c:v>
                </c:pt>
              </c:strCache>
            </c:strRef>
          </c:tx>
          <c:spPr>
            <a:solidFill>
              <a:srgbClr val="FF0000">
                <a:alpha val="100000"/>
              </a:srgbClr>
            </a:solidFill>
            <a:ln w="12700">
              <a:solidFill>
                <a:srgbClr val="000000">
                  <a:alpha val="100000"/>
                </a:srgbClr>
              </a:solidFill>
              <a:prstDash val="solid"/>
            </a:ln>
            <a:effectLst/>
          </c:spPr>
          <c:invertIfNegative val="0"/>
          <c:dLbls>
            <c:delete val="1"/>
          </c:dLbls>
          <c:cat>
            <c:strRef>
              <c:f>收支对比!$A$4:$A$7</c:f>
              <c:strCache>
                <c:ptCount val="4"/>
                <c:pt idx="0">
                  <c:v>营业收入</c:v>
                </c:pt>
                <c:pt idx="1">
                  <c:v>营业成本</c:v>
                </c:pt>
                <c:pt idx="2">
                  <c:v>期间费用</c:v>
                </c:pt>
                <c:pt idx="3">
                  <c:v>税金及附加</c:v>
                </c:pt>
              </c:strCache>
            </c:strRef>
          </c:cat>
          <c:val>
            <c:numRef>
              <c:f>收支对比!$C$4:$C$7</c:f>
              <c:numCache>
                <c:formatCode>_ * #,##0.00_ ;_ * \-#,##0.00_ ;_ * "-"??_ ;_ @_ </c:formatCode>
                <c:ptCount val="4"/>
                <c:pt idx="0">
                  <c:v>160000</c:v>
                </c:pt>
                <c:pt idx="1">
                  <c:v>34441</c:v>
                </c:pt>
                <c:pt idx="2">
                  <c:v>68055</c:v>
                </c:pt>
                <c:pt idx="3">
                  <c:v>424</c:v>
                </c:pt>
              </c:numCache>
            </c:numRef>
          </c:val>
        </c:ser>
        <c:dLbls>
          <c:showLegendKey val="0"/>
          <c:showVal val="0"/>
          <c:showCatName val="0"/>
          <c:showSerName val="0"/>
          <c:showPercent val="0"/>
          <c:showBubbleSize val="0"/>
        </c:dLbls>
        <c:gapWidth val="150"/>
        <c:axId val="82410496"/>
        <c:axId val="82416384"/>
      </c:barChart>
      <c:catAx>
        <c:axId val="82410496"/>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76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416384"/>
        <c:crosses val="autoZero"/>
        <c:auto val="1"/>
        <c:lblAlgn val="ctr"/>
        <c:lblOffset val="100"/>
        <c:noMultiLvlLbl val="0"/>
      </c:catAx>
      <c:valAx>
        <c:axId val="82416384"/>
        <c:scaling>
          <c:orientation val="minMax"/>
          <c:max val="500000"/>
        </c:scaling>
        <c:delete val="0"/>
        <c:axPos val="l"/>
        <c:majorGridlines>
          <c:spPr>
            <a:ln w="3175" cap="flat" cmpd="sng" algn="ctr">
              <a:solidFill>
                <a:srgbClr val="000000">
                  <a:alpha val="100000"/>
                </a:srgbClr>
              </a:solidFill>
              <a:prstDash val="solid"/>
              <a:round/>
            </a:ln>
            <a:effectLst/>
          </c:spPr>
        </c:majorGridlines>
        <c:numFmt formatCode="_ * #,##0.00_ ;_ * \-#,##0.00_ ;_ * &quot;-&quot;??_ ;_ @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76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410496"/>
        <c:crosses val="autoZero"/>
        <c:crossBetween val="between"/>
        <c:majorUnit val="500000"/>
      </c:valAx>
      <c:spPr>
        <a:blipFill>
          <a:blip xmlns:r="http://schemas.openxmlformats.org/officeDocument/2006/relationships" r:embed="rId1"/>
        </a:blipFill>
        <a:ln w="3175">
          <a:noFill/>
        </a:ln>
        <a:effectLst/>
      </c:spPr>
    </c:plotArea>
    <c:legend>
      <c:legendPos val="r"/>
      <c:layout>
        <c:manualLayout>
          <c:xMode val="edge"/>
          <c:yMode val="edge"/>
          <c:x val="0.3295"/>
          <c:y val="0"/>
          <c:w val="0.54325"/>
          <c:h val="0.0527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85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855"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Mode val="edge"/>
          <c:yMode val="edge"/>
          <c:x val="0.433227011494253"/>
          <c:y val="0.484262467191601"/>
        </c:manualLayout>
      </c:layout>
      <c:overlay val="0"/>
      <c:spPr>
        <a:noFill/>
        <a:ln w="9525">
          <a:noFill/>
        </a:ln>
        <a:effectLst/>
      </c:spPr>
    </c:title>
    <c:autoTitleDeleted val="0"/>
    <c:plotArea>
      <c:layout>
        <c:manualLayout>
          <c:layoutTarget val="inner"/>
          <c:xMode val="edge"/>
          <c:yMode val="edge"/>
          <c:x val="0.0985000000000001"/>
          <c:y val="0.25375"/>
          <c:w val="0.85675"/>
          <c:h val="0.4925"/>
        </c:manualLayout>
      </c:layout>
      <c:lineChart>
        <c:grouping val="standard"/>
        <c:varyColors val="0"/>
        <c:ser>
          <c:idx val="0"/>
          <c:order val="0"/>
          <c:tx>
            <c:strRef>
              <c:f>结构比!#REF!</c:f>
              <c:strCache>
                <c:ptCount val="1"/>
                <c:pt idx="0">
                  <c:v/>
                </c:pt>
              </c:strCache>
            </c:strRef>
          </c:tx>
          <c:spPr>
            <a:ln w="12700" cap="rnd" cmpd="sng" algn="ctr">
              <a:solidFill>
                <a:srgbClr val="000080"/>
              </a:solidFill>
              <a:prstDash val="solid"/>
              <a:round/>
            </a:ln>
            <a:effectLst/>
          </c:spPr>
          <c:marker>
            <c:symbol val="none"/>
          </c:marker>
          <c:dLbls>
            <c:delete val="1"/>
          </c:dLbls>
          <c:val>
            <c:numRef>
              <c:f>结构比!#REF!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680704"/>
        <c:axId val="86682240"/>
      </c:lineChart>
      <c:catAx>
        <c:axId val="866807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82240"/>
        <c:crosses val="autoZero"/>
        <c:auto val="1"/>
        <c:lblAlgn val="ctr"/>
        <c:lblOffset val="100"/>
        <c:noMultiLvlLbl val="0"/>
      </c:catAx>
      <c:valAx>
        <c:axId val="866822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68070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275"/>
          <c:y val="0.35825"/>
          <c:w val="0.7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[2]生产成本汇总表!$B$9:$N$9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0"/>
        <c:smooth val="0"/>
        <c:axId val="86776064"/>
        <c:axId val="86798336"/>
      </c:lineChart>
      <c:catAx>
        <c:axId val="8677606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798336"/>
        <c:crosses val="autoZero"/>
        <c:auto val="1"/>
        <c:lblAlgn val="ctr"/>
        <c:lblOffset val="100"/>
        <c:noMultiLvlLbl val="0"/>
      </c:catAx>
      <c:valAx>
        <c:axId val="867983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77606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85"/>
          <c:y val="0.1195"/>
          <c:w val="0.0955000000000001"/>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Pt>
            <c:idx val="1"/>
            <c:bubble3D val="0"/>
            <c:spPr>
              <a:solidFill>
                <a:srgbClr val="993366"/>
              </a:solidFill>
              <a:ln w="3175">
                <a:solidFill>
                  <a:srgbClr val="000000">
                    <a:alpha val="100000"/>
                  </a:srgbClr>
                </a:solidFill>
                <a:prstDash val="solid"/>
              </a:ln>
              <a:effectLst/>
            </c:spPr>
          </c:dPt>
          <c:dPt>
            <c:idx val="2"/>
            <c:bubble3D val="0"/>
            <c:spPr>
              <a:solidFill>
                <a:srgbClr val="FFFFCC"/>
              </a:solidFill>
              <a:ln w="12700">
                <a:solidFill>
                  <a:srgbClr val="000000">
                    <a:alpha val="100000"/>
                  </a:srgbClr>
                </a:solidFill>
                <a:prstDash val="solid"/>
              </a:ln>
              <a:effectLst/>
            </c:spPr>
          </c:dPt>
          <c:dPt>
            <c:idx val="3"/>
            <c:bubble3D val="0"/>
            <c:spPr>
              <a:solidFill>
                <a:srgbClr val="CCFFFF"/>
              </a:solidFill>
              <a:ln w="12700">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strRef>
              <c:f>[2]生产成本汇总表!$A$5:$A$8</c:f>
              <c:strCache>
                <c:ptCount val="4"/>
                <c:pt idx="0">
                  <c:v>B</c:v>
                </c:pt>
                <c:pt idx="1">
                  <c:v>C</c:v>
                </c:pt>
                <c:pt idx="2">
                  <c:v>D</c:v>
                </c:pt>
                <c:pt idx="3">
                  <c:v>E</c:v>
                </c:pt>
              </c:strCache>
            </c:strRef>
          </c:cat>
          <c:val>
            <c:numRef>
              <c:f>[2]生产成本汇总表!$P$5:$P$8</c:f>
              <c:numCache>
                <c:formatCode>General</c:formatCode>
                <c:ptCount val="4"/>
                <c:pt idx="0">
                  <c:v>0</c:v>
                </c:pt>
                <c:pt idx="1">
                  <c:v>0</c:v>
                </c:pt>
                <c:pt idx="2">
                  <c:v>0</c:v>
                </c:pt>
                <c:pt idx="3">
                  <c:v>0</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175"/>
          <c:y val="0.1195"/>
          <c:w val="0.89925"/>
          <c:h val="0.1045"/>
        </c:manualLayout>
      </c:layout>
      <c:lineChart>
        <c:grouping val="standard"/>
        <c:varyColors val="0"/>
        <c:ser>
          <c:idx val="0"/>
          <c:order val="0"/>
          <c:tx>
            <c:strRef>
              <c:f>[2]生产成本汇总表!$A$5</c:f>
              <c:strCache>
                <c:ptCount val="1"/>
                <c:pt idx="0">
                  <c:v>B</c:v>
                </c:pt>
              </c:strCache>
            </c:strRef>
          </c:tx>
          <c:spPr>
            <a:ln w="12700" cap="rnd" cmpd="sng" algn="ctr">
              <a:solidFill>
                <a:srgbClr val="000080"/>
              </a:solidFill>
              <a:prstDash val="solid"/>
              <a:round/>
            </a:ln>
            <a:effectLst/>
          </c:spPr>
          <c:marker>
            <c:symbol val="none"/>
          </c:marker>
          <c:dLbls>
            <c:delete val="1"/>
          </c:dLbls>
          <c:val>
            <c:numRef>
              <c:f>[2]生产成本汇总表!$B$5:$N$5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1"/>
          <c:order val="1"/>
          <c:tx>
            <c:strRef>
              <c:f>[2]生产成本汇总表!$A$6</c:f>
              <c:strCache>
                <c:ptCount val="1"/>
                <c:pt idx="0">
                  <c:v>C</c:v>
                </c:pt>
              </c:strCache>
            </c:strRef>
          </c:tx>
          <c:spPr>
            <a:ln w="12700" cap="rnd" cmpd="sng" algn="ctr">
              <a:solidFill>
                <a:srgbClr val="FF00FF"/>
              </a:solidFill>
              <a:prstDash val="solid"/>
              <a:round/>
            </a:ln>
            <a:effectLst/>
          </c:spPr>
          <c:marker>
            <c:symbol val="none"/>
          </c:marker>
          <c:dLbls>
            <c:delete val="1"/>
          </c:dLbls>
          <c:val>
            <c:numRef>
              <c:f>[2]生产成本汇总表!$B$6:$N$6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2"/>
          <c:tx>
            <c:strRef>
              <c:f>[2]生产成本汇总表!$A$7</c:f>
              <c:strCache>
                <c:ptCount val="1"/>
                <c:pt idx="0">
                  <c:v>D</c:v>
                </c:pt>
              </c:strCache>
            </c:strRef>
          </c:tx>
          <c:spPr>
            <a:ln w="12700" cap="rnd" cmpd="sng" algn="ctr">
              <a:solidFill>
                <a:srgbClr val="FFFF00"/>
              </a:solidFill>
              <a:prstDash val="solid"/>
              <a:round/>
            </a:ln>
            <a:effectLst/>
          </c:spPr>
          <c:marker>
            <c:symbol val="none"/>
          </c:marker>
          <c:dLbls>
            <c:delete val="1"/>
          </c:dLbls>
          <c:val>
            <c:numRef>
              <c:f>[2]生产成本汇总表!$B$7:$N$7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3"/>
          <c:order val="3"/>
          <c:tx>
            <c:strRef>
              <c:f>[2]生产成本汇总表!$A$8</c:f>
              <c:strCache>
                <c:ptCount val="1"/>
                <c:pt idx="0">
                  <c:v>E</c:v>
                </c:pt>
              </c:strCache>
            </c:strRef>
          </c:tx>
          <c:spPr>
            <a:ln w="12700" cap="rnd" cmpd="sng" algn="ctr">
              <a:solidFill>
                <a:srgbClr val="00FFFF"/>
              </a:solidFill>
              <a:prstDash val="solid"/>
              <a:round/>
            </a:ln>
            <a:effectLst/>
          </c:spPr>
          <c:marker>
            <c:symbol val="none"/>
          </c:marker>
          <c:dLbls>
            <c:delete val="1"/>
          </c:dLbls>
          <c:val>
            <c:numRef>
              <c:f>[2]生产成本汇总表!$B$8:$N$8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0"/>
        <c:smooth val="0"/>
        <c:axId val="86742144"/>
        <c:axId val="86743680"/>
      </c:lineChart>
      <c:catAx>
        <c:axId val="867421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743680"/>
        <c:crosses val="autoZero"/>
        <c:auto val="1"/>
        <c:lblAlgn val="ctr"/>
        <c:lblOffset val="100"/>
        <c:noMultiLvlLbl val="0"/>
      </c:catAx>
      <c:valAx>
        <c:axId val="867436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7421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375"/>
          <c:y val="0.04475"/>
          <c:w val="0.93625"/>
          <c:h val="0.1045"/>
        </c:manualLayout>
      </c:layout>
      <c:lineChart>
        <c:grouping val="standard"/>
        <c:varyColors val="0"/>
        <c:ser>
          <c:idx val="0"/>
          <c:order val="0"/>
          <c:tx>
            <c:strRef>
              <c:f>[2]生产成本汇总表!$A$5</c:f>
              <c:strCache>
                <c:ptCount val="1"/>
                <c:pt idx="0">
                  <c:v>B</c:v>
                </c:pt>
              </c:strCache>
            </c:strRef>
          </c:tx>
          <c:spPr>
            <a:ln w="12700" cap="rnd" cmpd="sng" algn="ctr">
              <a:solidFill>
                <a:srgbClr val="000080"/>
              </a:solidFill>
              <a:prstDash val="solid"/>
              <a:round/>
            </a:ln>
            <a:effectLst/>
          </c:spPr>
          <c:marker>
            <c:symbol val="none"/>
          </c:marker>
          <c:dLbls>
            <c:delete val="1"/>
          </c:dLbls>
          <c:val>
            <c:numRef>
              <c:f>[2]生产成本汇总表!$B$17:$N$17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1"/>
          <c:order val="1"/>
          <c:tx>
            <c:strRef>
              <c:f>[2]生产成本汇总表!$A$6</c:f>
              <c:strCache>
                <c:ptCount val="1"/>
                <c:pt idx="0">
                  <c:v>C</c:v>
                </c:pt>
              </c:strCache>
            </c:strRef>
          </c:tx>
          <c:spPr>
            <a:ln w="12700" cap="rnd" cmpd="sng" algn="ctr">
              <a:solidFill>
                <a:srgbClr val="FF00FF"/>
              </a:solidFill>
              <a:prstDash val="solid"/>
              <a:round/>
            </a:ln>
            <a:effectLst/>
          </c:spPr>
          <c:marker>
            <c:symbol val="none"/>
          </c:marker>
          <c:dLbls>
            <c:delete val="1"/>
          </c:dLbls>
          <c:val>
            <c:numRef>
              <c:f>[2]生产成本汇总表!$B$18:$N$18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2"/>
          <c:order val="2"/>
          <c:tx>
            <c:strRef>
              <c:f>[2]生产成本汇总表!$A$7</c:f>
              <c:strCache>
                <c:ptCount val="1"/>
                <c:pt idx="0">
                  <c:v>D</c:v>
                </c:pt>
              </c:strCache>
            </c:strRef>
          </c:tx>
          <c:spPr>
            <a:ln w="12700" cap="rnd" cmpd="sng" algn="ctr">
              <a:solidFill>
                <a:srgbClr val="FFFF00"/>
              </a:solidFill>
              <a:prstDash val="solid"/>
              <a:round/>
            </a:ln>
            <a:effectLst/>
          </c:spPr>
          <c:marker>
            <c:symbol val="none"/>
          </c:marker>
          <c:dLbls>
            <c:delete val="1"/>
          </c:dLbls>
          <c:val>
            <c:numRef>
              <c:f>[2]生产成本汇总表!$B$19:$N$19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ser>
          <c:idx val="3"/>
          <c:order val="3"/>
          <c:tx>
            <c:strRef>
              <c:f>[2]生产成本汇总表!$A$8</c:f>
              <c:strCache>
                <c:ptCount val="1"/>
                <c:pt idx="0">
                  <c:v>E</c:v>
                </c:pt>
              </c:strCache>
            </c:strRef>
          </c:tx>
          <c:spPr>
            <a:ln w="12700" cap="rnd" cmpd="sng" algn="ctr">
              <a:solidFill>
                <a:srgbClr val="00FFFF"/>
              </a:solidFill>
              <a:prstDash val="solid"/>
              <a:round/>
            </a:ln>
            <a:effectLst/>
          </c:spPr>
          <c:marker>
            <c:symbol val="none"/>
          </c:marker>
          <c:dLbls>
            <c:delete val="1"/>
          </c:dLbls>
          <c:val>
            <c:numRef>
              <c:f>[2]生产成本汇总表!$B$20:$N$20</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ser>
        <c:dLbls>
          <c:showLegendKey val="0"/>
          <c:showVal val="0"/>
          <c:showCatName val="0"/>
          <c:showSerName val="0"/>
          <c:showPercent val="0"/>
          <c:showBubbleSize val="0"/>
        </c:dLbls>
        <c:marker val="0"/>
        <c:smooth val="0"/>
        <c:axId val="86921600"/>
        <c:axId val="86923136"/>
      </c:lineChart>
      <c:catAx>
        <c:axId val="869216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923136"/>
        <c:crosses val="autoZero"/>
        <c:auto val="1"/>
        <c:lblAlgn val="ctr"/>
        <c:lblOffset val="100"/>
        <c:noMultiLvlLbl val="0"/>
      </c:catAx>
      <c:valAx>
        <c:axId val="869231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9216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785"/>
          <c:y val="0.2355"/>
          <c:w val="0.3085"/>
          <c:h val="0.58325"/>
        </c:manualLayout>
      </c:layout>
      <c:pieChart>
        <c:varyColors val="1"/>
        <c:ser>
          <c:idx val="0"/>
          <c:order val="0"/>
          <c:spPr>
            <a:solidFill>
              <a:srgbClr val="9999FF"/>
            </a:solidFill>
            <a:effectLst/>
          </c:spPr>
          <c:explosion val="0"/>
          <c:dPt>
            <c:idx val="0"/>
            <c:bubble3D val="0"/>
            <c:spPr>
              <a:solidFill>
                <a:srgbClr val="9999FF"/>
              </a:solidFill>
              <a:ln w="12700">
                <a:solidFill>
                  <a:srgbClr val="000000"/>
                </a:solidFill>
                <a:prstDash val="solid"/>
              </a:ln>
              <a:effectLst/>
            </c:spPr>
          </c:dPt>
          <c:dPt>
            <c:idx val="1"/>
            <c:bubble3D val="0"/>
            <c:spPr>
              <a:solidFill>
                <a:srgbClr val="993366"/>
              </a:solidFill>
              <a:ln w="12700">
                <a:solidFill>
                  <a:srgbClr val="000000"/>
                </a:solidFill>
                <a:prstDash val="solid"/>
              </a:ln>
              <a:effectLst/>
            </c:spPr>
          </c:dPt>
          <c:dPt>
            <c:idx val="2"/>
            <c:bubble3D val="0"/>
            <c:spPr>
              <a:solidFill>
                <a:srgbClr val="FFFFCC"/>
              </a:solidFill>
              <a:ln w="12700">
                <a:solidFill>
                  <a:srgbClr val="000000"/>
                </a:solidFill>
                <a:prstDash val="solid"/>
              </a:ln>
              <a:effectLst/>
            </c:spPr>
          </c:dPt>
          <c:dPt>
            <c:idx val="3"/>
            <c:bubble3D val="0"/>
            <c:spPr>
              <a:solidFill>
                <a:srgbClr val="CCFFFF"/>
              </a:solidFill>
              <a:ln w="12700">
                <a:solidFill>
                  <a:srgbClr val="000000"/>
                </a:solidFill>
                <a:prstDash val="solid"/>
              </a:ln>
              <a:effectLst/>
            </c:spPr>
          </c:dPt>
          <c:dPt>
            <c:idx val="4"/>
            <c:bubble3D val="0"/>
            <c:spPr>
              <a:solidFill>
                <a:srgbClr val="660066"/>
              </a:solidFill>
              <a:ln w="12700">
                <a:solidFill>
                  <a:srgbClr val="000000"/>
                </a:solidFill>
                <a:prstDash val="solid"/>
              </a:ln>
              <a:effectLst/>
            </c:spPr>
          </c:dPt>
          <c:dPt>
            <c:idx val="5"/>
            <c:bubble3D val="0"/>
            <c:spPr>
              <a:solidFill>
                <a:srgbClr val="FF8080"/>
              </a:solidFill>
              <a:ln w="12700">
                <a:solidFill>
                  <a:srgbClr val="000000"/>
                </a:solidFill>
                <a:prstDash val="solid"/>
              </a:ln>
              <a:effectLst/>
            </c:spPr>
          </c:dPt>
          <c:dPt>
            <c:idx val="6"/>
            <c:bubble3D val="0"/>
            <c:spPr>
              <a:solidFill>
                <a:srgbClr val="0066CC"/>
              </a:solidFill>
              <a:ln w="12700">
                <a:solidFill>
                  <a:srgbClr val="000000"/>
                </a:solidFill>
                <a:prstDash val="solid"/>
              </a:ln>
              <a:effectLst/>
            </c:spPr>
          </c:dPt>
          <c:dPt>
            <c:idx val="7"/>
            <c:bubble3D val="0"/>
            <c:spPr>
              <a:solidFill>
                <a:srgbClr val="CCCCFF"/>
              </a:solidFill>
              <a:ln w="12700">
                <a:solidFill>
                  <a:srgbClr val="000000"/>
                </a:solidFill>
                <a:prstDash val="solid"/>
              </a:ln>
              <a:effectLst/>
            </c:spPr>
          </c:dPt>
          <c:dPt>
            <c:idx val="8"/>
            <c:bubble3D val="0"/>
            <c:spPr>
              <a:solidFill>
                <a:srgbClr val="000080"/>
              </a:solidFill>
              <a:ln w="12700">
                <a:solidFill>
                  <a:srgbClr val="000000"/>
                </a:solidFill>
                <a:prstDash val="solid"/>
              </a:ln>
              <a:effectLst/>
            </c:spPr>
          </c:dPt>
          <c:dPt>
            <c:idx val="9"/>
            <c:bubble3D val="0"/>
            <c:spPr>
              <a:solidFill>
                <a:srgbClr val="FF00FF"/>
              </a:solidFill>
              <a:ln w="12700">
                <a:solidFill>
                  <a:srgbClr val="000000"/>
                </a:solidFill>
                <a:prstDash val="solid"/>
              </a:ln>
              <a:effectLst/>
            </c:spPr>
          </c:dPt>
          <c:dPt>
            <c:idx val="10"/>
            <c:bubble3D val="0"/>
            <c:spPr>
              <a:solidFill>
                <a:srgbClr val="FFFF00"/>
              </a:solidFill>
              <a:ln w="12700">
                <a:solidFill>
                  <a:srgbClr val="000000"/>
                </a:solidFill>
                <a:prstDash val="solid"/>
              </a:ln>
              <a:effectLst/>
            </c:spPr>
          </c:dPt>
          <c:dPt>
            <c:idx val="11"/>
            <c:bubble3D val="0"/>
            <c:spPr>
              <a:solidFill>
                <a:srgbClr val="00FFFF"/>
              </a:solidFill>
              <a:ln w="12700">
                <a:solidFill>
                  <a:srgbClr val="000000"/>
                </a:solidFill>
                <a:prstDash val="solid"/>
              </a:ln>
              <a:effectLst/>
            </c:spPr>
          </c:dPt>
          <c:dPt>
            <c:idx val="12"/>
            <c:bubble3D val="0"/>
            <c:spPr>
              <a:solidFill>
                <a:srgbClr val="800080"/>
              </a:solidFill>
              <a:ln w="12700">
                <a:solidFill>
                  <a:srgbClr val="000000"/>
                </a:solidFill>
                <a:prstDash val="solid"/>
              </a:ln>
              <a:effectLst/>
            </c:spPr>
          </c:dPt>
          <c:dPt>
            <c:idx val="13"/>
            <c:bubble3D val="0"/>
            <c:spPr>
              <a:solidFill>
                <a:srgbClr val="800000"/>
              </a:solidFill>
              <a:ln w="12700">
                <a:solidFill>
                  <a:srgbClr val="000000"/>
                </a:solidFill>
                <a:prstDash val="solid"/>
              </a:ln>
              <a:effectLst/>
            </c:spPr>
          </c:dPt>
          <c:dPt>
            <c:idx val="14"/>
            <c:bubble3D val="0"/>
            <c:spPr>
              <a:solidFill>
                <a:srgbClr val="008080"/>
              </a:solidFill>
              <a:ln w="12700">
                <a:solidFill>
                  <a:srgbClr val="000000"/>
                </a:solidFill>
                <a:prstDash val="solid"/>
              </a:ln>
              <a:effectLst/>
            </c:spPr>
          </c:dPt>
          <c:dPt>
            <c:idx val="15"/>
            <c:bubble3D val="0"/>
            <c:spPr>
              <a:solidFill>
                <a:srgbClr val="0000FF"/>
              </a:solidFill>
              <a:ln w="12700">
                <a:solidFill>
                  <a:srgbClr val="000000"/>
                </a:solidFill>
                <a:prstDash val="solid"/>
              </a:ln>
              <a:effectLst/>
            </c:spPr>
          </c:dPt>
          <c:dPt>
            <c:idx val="16"/>
            <c:bubble3D val="0"/>
            <c:spPr>
              <a:solidFill>
                <a:srgbClr val="00CCFF"/>
              </a:solidFill>
              <a:ln w="12700">
                <a:solidFill>
                  <a:srgbClr val="000000"/>
                </a:solidFill>
                <a:prstDash val="solid"/>
              </a:ln>
              <a:effectLst/>
            </c:spPr>
          </c:dPt>
          <c:dLbls>
            <c:spPr>
              <a:noFill/>
              <a:ln w="9525">
                <a:noFill/>
              </a:ln>
              <a:effectLst/>
            </c:spPr>
            <c:txPr>
              <a:bodyPr rot="0" spcFirstLastPara="0" vertOverflow="ellipsis" horzOverflow="overflow" vert="horz" wrap="square" lIns="38100" tIns="19050" rIns="38100" bIns="19050"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[2]生产成本汇总表!$P$4:$P$20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75"/>
          <c:y val="0.21825"/>
          <c:w val="0.3095"/>
          <c:h val="0.5345"/>
        </c:manualLayout>
      </c:layout>
      <c:pieChart>
        <c:varyColors val="1"/>
        <c:ser>
          <c:idx val="0"/>
          <c:order val="0"/>
          <c:spPr>
            <a:solidFill>
              <a:srgbClr val="9999FF"/>
            </a:solidFill>
            <a:effectLst/>
          </c:spPr>
          <c:explosion val="0"/>
          <c:dPt>
            <c:idx val="0"/>
            <c:bubble3D val="0"/>
            <c:spPr>
              <a:solidFill>
                <a:srgbClr val="9999FF"/>
              </a:solidFill>
              <a:ln w="12700">
                <a:solidFill>
                  <a:srgbClr val="000000"/>
                </a:solidFill>
                <a:prstDash val="solid"/>
              </a:ln>
              <a:effectLst/>
            </c:spPr>
          </c:dPt>
          <c:dPt>
            <c:idx val="1"/>
            <c:bubble3D val="0"/>
            <c:spPr>
              <a:solidFill>
                <a:srgbClr val="993366"/>
              </a:solidFill>
              <a:ln w="12700">
                <a:solidFill>
                  <a:srgbClr val="000000"/>
                </a:solidFill>
                <a:prstDash val="solid"/>
              </a:ln>
              <a:effectLst/>
            </c:spPr>
          </c:dPt>
          <c:dPt>
            <c:idx val="2"/>
            <c:bubble3D val="0"/>
            <c:spPr>
              <a:solidFill>
                <a:srgbClr val="FFFFCC"/>
              </a:solidFill>
              <a:ln w="12700">
                <a:solidFill>
                  <a:srgbClr val="000000"/>
                </a:solidFill>
                <a:prstDash val="solid"/>
              </a:ln>
              <a:effectLst/>
            </c:spPr>
          </c:dPt>
          <c:dPt>
            <c:idx val="3"/>
            <c:bubble3D val="0"/>
            <c:spPr>
              <a:solidFill>
                <a:srgbClr val="CCFFFF"/>
              </a:solidFill>
              <a:ln w="12700">
                <a:solidFill>
                  <a:srgbClr val="000000"/>
                </a:solidFill>
                <a:prstDash val="solid"/>
              </a:ln>
              <a:effectLst/>
            </c:spPr>
          </c:dPt>
          <c:dPt>
            <c:idx val="4"/>
            <c:bubble3D val="0"/>
            <c:spPr>
              <a:solidFill>
                <a:srgbClr val="660066"/>
              </a:solidFill>
              <a:ln w="12700">
                <a:solidFill>
                  <a:srgbClr val="000000"/>
                </a:solidFill>
                <a:prstDash val="solid"/>
              </a:ln>
              <a:effectLst/>
            </c:spPr>
          </c:dPt>
          <c:dPt>
            <c:idx val="5"/>
            <c:bubble3D val="0"/>
            <c:spPr>
              <a:solidFill>
                <a:srgbClr val="FF8080"/>
              </a:solidFill>
              <a:ln w="12700">
                <a:solidFill>
                  <a:srgbClr val="000000"/>
                </a:solidFill>
                <a:prstDash val="solid"/>
              </a:ln>
              <a:effectLst/>
            </c:spPr>
          </c:dPt>
          <c:dPt>
            <c:idx val="6"/>
            <c:bubble3D val="0"/>
            <c:spPr>
              <a:solidFill>
                <a:srgbClr val="0066CC"/>
              </a:solidFill>
              <a:ln w="12700">
                <a:solidFill>
                  <a:srgbClr val="000000"/>
                </a:solidFill>
                <a:prstDash val="solid"/>
              </a:ln>
              <a:effectLst/>
            </c:spPr>
          </c:dPt>
          <c:dPt>
            <c:idx val="7"/>
            <c:bubble3D val="0"/>
            <c:spPr>
              <a:solidFill>
                <a:srgbClr val="CCCCFF"/>
              </a:solidFill>
              <a:ln w="12700">
                <a:solidFill>
                  <a:srgbClr val="000000"/>
                </a:solidFill>
                <a:prstDash val="solid"/>
              </a:ln>
              <a:effectLst/>
            </c:spPr>
          </c:dPt>
          <c:dPt>
            <c:idx val="8"/>
            <c:bubble3D val="0"/>
            <c:spPr>
              <a:solidFill>
                <a:srgbClr val="000080"/>
              </a:solidFill>
              <a:ln w="12700">
                <a:solidFill>
                  <a:srgbClr val="000000"/>
                </a:solidFill>
                <a:prstDash val="solid"/>
              </a:ln>
              <a:effectLst/>
            </c:spPr>
          </c:dPt>
          <c:dPt>
            <c:idx val="9"/>
            <c:bubble3D val="0"/>
            <c:spPr>
              <a:solidFill>
                <a:srgbClr val="FF00FF"/>
              </a:solidFill>
              <a:ln w="12700">
                <a:solidFill>
                  <a:srgbClr val="000000"/>
                </a:solidFill>
                <a:prstDash val="solid"/>
              </a:ln>
              <a:effectLst/>
            </c:spPr>
          </c:dPt>
          <c:dPt>
            <c:idx val="10"/>
            <c:bubble3D val="0"/>
            <c:spPr>
              <a:solidFill>
                <a:srgbClr val="FFFF00"/>
              </a:solidFill>
              <a:ln w="12700">
                <a:solidFill>
                  <a:srgbClr val="000000"/>
                </a:solidFill>
                <a:prstDash val="solid"/>
              </a:ln>
              <a:effectLst/>
            </c:spPr>
          </c:dPt>
          <c:dPt>
            <c:idx val="11"/>
            <c:bubble3D val="0"/>
            <c:spPr>
              <a:solidFill>
                <a:srgbClr val="00FFFF"/>
              </a:solidFill>
              <a:ln w="12700">
                <a:solidFill>
                  <a:srgbClr val="000000"/>
                </a:solidFill>
                <a:prstDash val="solid"/>
              </a:ln>
              <a:effectLst/>
            </c:spPr>
          </c:dPt>
          <c:dPt>
            <c:idx val="12"/>
            <c:bubble3D val="0"/>
            <c:spPr>
              <a:solidFill>
                <a:srgbClr val="800080"/>
              </a:solidFill>
              <a:ln w="12700">
                <a:solidFill>
                  <a:srgbClr val="000000"/>
                </a:solidFill>
                <a:prstDash val="solid"/>
              </a:ln>
              <a:effectLst/>
            </c:spPr>
          </c:dPt>
          <c:dPt>
            <c:idx val="13"/>
            <c:bubble3D val="0"/>
            <c:spPr>
              <a:solidFill>
                <a:srgbClr val="800000"/>
              </a:solidFill>
              <a:ln w="12700">
                <a:solidFill>
                  <a:srgbClr val="000000"/>
                </a:solidFill>
                <a:prstDash val="solid"/>
              </a:ln>
              <a:effectLst/>
            </c:spPr>
          </c:dPt>
          <c:dPt>
            <c:idx val="14"/>
            <c:bubble3D val="0"/>
            <c:spPr>
              <a:solidFill>
                <a:srgbClr val="008080"/>
              </a:solidFill>
              <a:ln w="12700">
                <a:solidFill>
                  <a:srgbClr val="000000"/>
                </a:solidFill>
                <a:prstDash val="solid"/>
              </a:ln>
              <a:effectLst/>
            </c:spPr>
          </c:dPt>
          <c:dPt>
            <c:idx val="15"/>
            <c:bubble3D val="0"/>
            <c:spPr>
              <a:solidFill>
                <a:srgbClr val="0000FF"/>
              </a:solidFill>
              <a:ln w="12700">
                <a:solidFill>
                  <a:srgbClr val="000000"/>
                </a:solidFill>
                <a:prstDash val="solid"/>
              </a:ln>
              <a:effectLst/>
            </c:spPr>
          </c:dPt>
          <c:dPt>
            <c:idx val="16"/>
            <c:bubble3D val="0"/>
            <c:spPr>
              <a:solidFill>
                <a:srgbClr val="00CCFF"/>
              </a:solidFill>
              <a:ln w="12700">
                <a:solidFill>
                  <a:srgbClr val="000000"/>
                </a:solidFill>
                <a:prstDash val="solid"/>
              </a:ln>
              <a:effectLst/>
            </c:spPr>
          </c:dPt>
          <c:dLbls>
            <c:spPr>
              <a:noFill/>
              <a:ln w="9525">
                <a:noFill/>
              </a:ln>
              <a:effectLst/>
            </c:spPr>
            <c:txPr>
              <a:bodyPr rot="0" spcFirstLastPara="0" vertOverflow="ellipsis" horzOverflow="overflow" vert="horz" wrap="square" lIns="38100" tIns="19050" rIns="38100" bIns="19050"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[2]生产成本汇总表!$S$4:$S$20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10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25"/>
          <c:y val="0.13225"/>
          <c:w val="0.86675"/>
          <c:h val="0.701"/>
        </c:manualLayout>
      </c:layout>
      <c:barChart>
        <c:barDir val="col"/>
        <c:grouping val="clustered"/>
        <c:varyColors val="0"/>
        <c:ser>
          <c:idx val="1"/>
          <c:order val="0"/>
          <c:tx>
            <c:strRef>
              <c:f>[2]生产成本汇总表!$S$3</c:f>
              <c:strCache>
                <c:ptCount val="1"/>
                <c:pt idx="0">
                  <c:v>上年结构</c:v>
                </c:pt>
              </c:strCache>
            </c:strRef>
          </c:tx>
          <c:spPr>
            <a:solidFill>
              <a:srgbClr val="993366"/>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[2]生产成本汇总表!$S$4:$S$20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0"/>
          <c:order val="1"/>
          <c:tx>
            <c:strRef>
              <c:f>[2]生产成本汇总表!$P$3</c:f>
              <c:strCache>
                <c:ptCount val="1"/>
                <c:pt idx="0">
                  <c:v>本年结构</c:v>
                </c:pt>
              </c:strCache>
            </c:strRef>
          </c:tx>
          <c:spPr>
            <a:solidFill>
              <a:srgbClr val="9999FF"/>
            </a:solidFill>
            <a:ln w="12700">
              <a:solidFill>
                <a:srgbClr val="000000"/>
              </a:solidFill>
            </a:ln>
            <a:effectLst/>
          </c:spPr>
          <c:invertIfNegative val="0"/>
          <c:dLbls>
            <c:delete val="1"/>
          </c:dLbls>
          <c:val>
            <c:numRef>
              <c:f>[2]生产成本汇总表!$P$4:$P$20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axId val="87063936"/>
        <c:axId val="87086208"/>
      </c:barChart>
      <c:catAx>
        <c:axId val="870639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086208"/>
        <c:crosses val="autoZero"/>
        <c:auto val="1"/>
        <c:lblAlgn val="ctr"/>
        <c:lblOffset val="100"/>
        <c:noMultiLvlLbl val="0"/>
      </c:catAx>
      <c:valAx>
        <c:axId val="870862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063936"/>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32525"/>
          <c:y val="0.00025"/>
          <c:w val="0.35125"/>
          <c:h val="0.0932500000000001"/>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025"/>
          <c:y val="0.14075"/>
          <c:w val="0.89725"/>
          <c:h val="0.6935"/>
        </c:manualLayout>
      </c:layout>
      <c:barChart>
        <c:barDir val="col"/>
        <c:grouping val="clustered"/>
        <c:varyColors val="0"/>
        <c:ser>
          <c:idx val="0"/>
          <c:order val="0"/>
          <c:tx>
            <c:strRef>
              <c:f>"上年生产成本"</c:f>
              <c:strCache>
                <c:ptCount val="1"/>
                <c:pt idx="0">
                  <c:v>上年生产成本</c:v>
                </c:pt>
              </c:strCache>
            </c:strRef>
          </c:tx>
          <c:spPr>
            <a:solidFill>
              <a:srgbClr val="9999FF"/>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[2]生产成本汇总表!$R$4:$R$20</c:f>
              <c:numCache>
                <c:formatCode>General</c:formatCode>
                <c:ptCount val="17"/>
              </c:numCache>
            </c:numRef>
          </c:val>
        </c:ser>
        <c:ser>
          <c:idx val="1"/>
          <c:order val="1"/>
          <c:tx>
            <c:strRef>
              <c:f>"本年生产成本"</c:f>
              <c:strCache>
                <c:ptCount val="1"/>
                <c:pt idx="0">
                  <c:v>本年生产成本</c:v>
                </c:pt>
              </c:strCache>
            </c:strRef>
          </c:tx>
          <c:spPr>
            <a:solidFill>
              <a:srgbClr val="993366"/>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[2]生产成本汇总表!$G$4:$G$20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axId val="87106688"/>
        <c:axId val="87108224"/>
      </c:barChart>
      <c:catAx>
        <c:axId val="871066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108224"/>
        <c:crosses val="autoZero"/>
        <c:auto val="1"/>
        <c:lblAlgn val="ctr"/>
        <c:lblOffset val="100"/>
        <c:noMultiLvlLbl val="0"/>
      </c:catAx>
      <c:valAx>
        <c:axId val="871082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10668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725"/>
          <c:y val="0.1605"/>
          <c:w val="0.82075"/>
          <c:h val="0.684"/>
        </c:manualLayout>
      </c:layout>
      <c:barChart>
        <c:barDir val="col"/>
        <c:grouping val="stacked"/>
        <c:varyColors val="0"/>
        <c:ser>
          <c:idx val="0"/>
          <c:order val="0"/>
          <c:tx>
            <c:strRef>
              <c:f>[2]生产成本汇总表!$L$3</c:f>
              <c:strCache>
                <c:ptCount val="1"/>
                <c:pt idx="0">
                  <c:v>直接材料比重</c:v>
                </c:pt>
              </c:strCache>
            </c:strRef>
          </c:tx>
          <c:spPr>
            <a:solidFill>
              <a:srgbClr val="9999FF"/>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[2]生产成本汇总表!$L$4:$L$20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1"/>
          <c:order val="1"/>
          <c:tx>
            <c:strRef>
              <c:f>[2]生产成本汇总表!$M$3</c:f>
              <c:strCache>
                <c:ptCount val="1"/>
                <c:pt idx="0">
                  <c:v>直接人工比重</c:v>
                </c:pt>
              </c:strCache>
            </c:strRef>
          </c:tx>
          <c:spPr>
            <a:solidFill>
              <a:srgbClr val="993366"/>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[2]生产成本汇总表!$M$4:$M$20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2"/>
          <c:order val="2"/>
          <c:tx>
            <c:strRef>
              <c:f>[2]生产成本汇总表!$N$3</c:f>
              <c:strCache>
                <c:ptCount val="1"/>
                <c:pt idx="0">
                  <c:v>制造费用比重</c:v>
                </c:pt>
              </c:strCache>
            </c:strRef>
          </c:tx>
          <c:spPr>
            <a:solidFill>
              <a:srgbClr val="FFFFCC"/>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[2]生产成本汇总表!$N$4:$N$20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3"/>
          <c:order val="3"/>
          <c:tx>
            <c:strRef>
              <c:f>[2]生产成本汇总表!$O$3</c:f>
              <c:strCache>
                <c:ptCount val="1"/>
                <c:pt idx="0">
                  <c:v>其他比重</c:v>
                </c:pt>
              </c:strCache>
            </c:strRef>
          </c:tx>
          <c:spPr>
            <a:solidFill>
              <a:srgbClr val="CCFFFF"/>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[2]生产成本汇总表!$O$4:$O$20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overlap val="100"/>
        <c:axId val="87159168"/>
        <c:axId val="87160704"/>
      </c:barChart>
      <c:catAx>
        <c:axId val="871591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160704"/>
        <c:crosses val="autoZero"/>
        <c:auto val="1"/>
        <c:lblAlgn val="ctr"/>
        <c:lblOffset val="100"/>
        <c:noMultiLvlLbl val="0"/>
      </c:catAx>
      <c:valAx>
        <c:axId val="871607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159168"/>
        <c:crosses val="autoZero"/>
        <c:crossBetween val="between"/>
      </c:valAx>
      <c:spPr>
        <a:solidFill>
          <a:srgbClr val="C0C0C0">
            <a:alpha val="100000"/>
          </a:srgbClr>
        </a:solidFill>
        <a:ln w="12700">
          <a:solidFill>
            <a:srgbClr val="808080">
              <a:alpha val="100000"/>
            </a:srgbClr>
          </a:solidFill>
          <a:prstDash val="solid"/>
        </a:ln>
        <a:effectLst/>
      </c:spPr>
    </c:plotArea>
    <c:legend>
      <c:legendPos val="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92024221453288"/>
          <c:y val="0.0861157308694622"/>
          <c:w val="0.8165"/>
          <c:h val="0.8155"/>
        </c:manualLayout>
      </c:layout>
      <c:barChart>
        <c:barDir val="col"/>
        <c:grouping val="clustered"/>
        <c:varyColors val="0"/>
        <c:ser>
          <c:idx val="0"/>
          <c:order val="0"/>
          <c:tx>
            <c:strRef>
              <c:f>收支对比!$B$3</c:f>
              <c:strCache>
                <c:ptCount val="1"/>
                <c:pt idx="0">
                  <c:v>本年度</c:v>
                </c:pt>
              </c:strCache>
            </c:strRef>
          </c:tx>
          <c:spPr>
            <a:solidFill>
              <a:srgbClr val="3366FF">
                <a:alpha val="100000"/>
              </a:srgbClr>
            </a:solidFill>
            <a:ln w="12700">
              <a:solidFill>
                <a:srgbClr val="000000">
                  <a:alpha val="100000"/>
                </a:srgbClr>
              </a:solidFill>
              <a:prstDash val="solid"/>
            </a:ln>
            <a:effectLst/>
          </c:spPr>
          <c:invertIfNegative val="0"/>
          <c:dLbls>
            <c:delete val="1"/>
          </c:dLbls>
          <c:cat>
            <c:strRef>
              <c:f>收支对比!$A$8:$A$10</c:f>
              <c:strCache>
                <c:ptCount val="3"/>
                <c:pt idx="0">
                  <c:v>销售成本率</c:v>
                </c:pt>
                <c:pt idx="1">
                  <c:v>期间费用率</c:v>
                </c:pt>
                <c:pt idx="2">
                  <c:v>销售税金率</c:v>
                </c:pt>
              </c:strCache>
            </c:strRef>
          </c:cat>
          <c:val>
            <c:numRef>
              <c:f>收支对比!$B$8:$B$10</c:f>
              <c:numCache>
                <c:formatCode>0.00%</c:formatCode>
                <c:ptCount val="3"/>
                <c:pt idx="0">
                  <c:v>0.185173333333333</c:v>
                </c:pt>
                <c:pt idx="1">
                  <c:v>0.278516666666667</c:v>
                </c:pt>
                <c:pt idx="2">
                  <c:v>0.00444666666666667</c:v>
                </c:pt>
              </c:numCache>
            </c:numRef>
          </c:val>
        </c:ser>
        <c:ser>
          <c:idx val="1"/>
          <c:order val="1"/>
          <c:tx>
            <c:strRef>
              <c:f>收支对比!$C$3</c:f>
              <c:strCache>
                <c:ptCount val="1"/>
                <c:pt idx="0">
                  <c:v>上年度</c:v>
                </c:pt>
              </c:strCache>
            </c:strRef>
          </c:tx>
          <c:spPr>
            <a:solidFill>
              <a:srgbClr val="FFCC00">
                <a:alpha val="100000"/>
              </a:srgbClr>
            </a:solidFill>
            <a:ln w="12700">
              <a:solidFill>
                <a:srgbClr val="000000">
                  <a:alpha val="100000"/>
                </a:srgbClr>
              </a:solidFill>
              <a:prstDash val="solid"/>
            </a:ln>
            <a:effectLst/>
          </c:spPr>
          <c:invertIfNegative val="0"/>
          <c:dLbls>
            <c:delete val="1"/>
          </c:dLbls>
          <c:cat>
            <c:strRef>
              <c:f>收支对比!$A$8:$A$10</c:f>
              <c:strCache>
                <c:ptCount val="3"/>
                <c:pt idx="0">
                  <c:v>销售成本率</c:v>
                </c:pt>
                <c:pt idx="1">
                  <c:v>期间费用率</c:v>
                </c:pt>
                <c:pt idx="2">
                  <c:v>销售税金率</c:v>
                </c:pt>
              </c:strCache>
            </c:strRef>
          </c:cat>
          <c:val>
            <c:numRef>
              <c:f>收支对比!$C$8:$C$10</c:f>
              <c:numCache>
                <c:formatCode>0.00%</c:formatCode>
                <c:ptCount val="3"/>
                <c:pt idx="0">
                  <c:v>0.21525625</c:v>
                </c:pt>
                <c:pt idx="1">
                  <c:v>0.42534375</c:v>
                </c:pt>
                <c:pt idx="2">
                  <c:v>0.00265</c:v>
                </c:pt>
              </c:numCache>
            </c:numRef>
          </c:val>
        </c:ser>
        <c:dLbls>
          <c:showLegendKey val="0"/>
          <c:showVal val="0"/>
          <c:showCatName val="0"/>
          <c:showSerName val="0"/>
          <c:showPercent val="0"/>
          <c:showBubbleSize val="0"/>
        </c:dLbls>
        <c:gapWidth val="150"/>
        <c:axId val="82449152"/>
        <c:axId val="82450688"/>
      </c:barChart>
      <c:catAx>
        <c:axId val="82449152"/>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92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450688"/>
        <c:crosses val="autoZero"/>
        <c:auto val="1"/>
        <c:lblAlgn val="ctr"/>
        <c:lblOffset val="100"/>
        <c:noMultiLvlLbl val="0"/>
      </c:catAx>
      <c:valAx>
        <c:axId val="82450688"/>
        <c:scaling>
          <c:orientation val="minMax"/>
        </c:scaling>
        <c:delete val="0"/>
        <c:axPos val="l"/>
        <c:majorGridlines>
          <c:spPr>
            <a:ln w="3175" cap="flat" cmpd="sng" algn="ctr">
              <a:solidFill>
                <a:srgbClr val="000000">
                  <a:alpha val="100000"/>
                </a:srgbClr>
              </a:solidFill>
              <a:prstDash val="solid"/>
              <a:round/>
            </a:ln>
            <a:effectLst/>
          </c:spPr>
        </c:majorGridlines>
        <c:numFmt formatCode="0.00%"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92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449152"/>
        <c:crosses val="autoZero"/>
        <c:crossBetween val="between"/>
      </c:valAx>
      <c:spPr>
        <a:gradFill>
          <a:gsLst>
            <a:gs pos="0">
              <a:srgbClr val="808080"/>
            </a:gs>
            <a:gs pos="50000">
              <a:srgbClr val="C0C0C0"/>
            </a:gs>
            <a:gs pos="100000">
              <a:srgbClr val="808080"/>
            </a:gs>
          </a:gsLst>
          <a:lin ang="5400000" scaled="1"/>
        </a:gradFill>
        <a:ln w="3175">
          <a:noFill/>
        </a:ln>
        <a:effectLst/>
      </c:spPr>
    </c:plotArea>
    <c:legend>
      <c:legendPos val="r"/>
      <c:layout>
        <c:manualLayout>
          <c:xMode val="edge"/>
          <c:yMode val="edge"/>
          <c:x val="0.3055"/>
          <c:y val="0"/>
          <c:w val="0.4185"/>
          <c:h val="0.0795000000000001"/>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3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1035"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95"/>
          <c:y val="0.223"/>
          <c:w val="0.8785"/>
          <c:h val="0.54625"/>
        </c:manualLayout>
      </c:layout>
      <c:barChart>
        <c:barDir val="col"/>
        <c:grouping val="clustered"/>
        <c:varyColors val="0"/>
        <c:ser>
          <c:idx val="0"/>
          <c:order val="0"/>
          <c:tx>
            <c:strRef>
              <c:f>"发生额"</c:f>
              <c:strCache>
                <c:ptCount val="1"/>
                <c:pt idx="0">
                  <c:v>发生额</c:v>
                </c:pt>
              </c:strCache>
            </c:strRef>
          </c:tx>
          <c:spPr>
            <a:solidFill>
              <a:srgbClr val="9999FF"/>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[2]生产成本汇总表!$G$4:$G$20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er>
          <c:idx val="1"/>
          <c:order val="1"/>
          <c:tx>
            <c:strRef>
              <c:f>"结转数"</c:f>
              <c:strCache>
                <c:ptCount val="1"/>
                <c:pt idx="0">
                  <c:v>结转数</c:v>
                </c:pt>
              </c:strCache>
            </c:strRef>
          </c:tx>
          <c:spPr>
            <a:solidFill>
              <a:srgbClr val="993366"/>
            </a:solidFill>
            <a:ln w="12700">
              <a:solidFill>
                <a:srgbClr val="000000"/>
              </a:solidFill>
            </a:ln>
            <a:effectLst/>
          </c:spPr>
          <c:invertIfNegative val="0"/>
          <c:dLbls>
            <c:delete val="1"/>
          </c:dLbls>
          <c:cat>
            <c:strRef>
              <c:f>[2]生产成本汇总表!$A$4:$A$20</c:f>
              <c:strCache>
                <c:ptCount val="17"/>
                <c:pt idx="0">
                  <c:v>A</c:v>
                </c:pt>
                <c:pt idx="1">
                  <c:v>B</c:v>
                </c:pt>
                <c:pt idx="2">
                  <c:v>C</c:v>
                </c:pt>
                <c:pt idx="3">
                  <c:v>D</c:v>
                </c:pt>
                <c:pt idx="4">
                  <c:v>E</c:v>
                </c:pt>
                <c:pt idx="5">
                  <c:v>F</c:v>
                </c:pt>
                <c:pt idx="6">
                  <c:v>G</c:v>
                </c:pt>
                <c:pt idx="7">
                  <c:v>H</c:v>
                </c:pt>
                <c:pt idx="8">
                  <c:v>I</c:v>
                </c:pt>
                <c:pt idx="9">
                  <c:v>J</c:v>
                </c:pt>
                <c:pt idx="10">
                  <c:v>K</c:v>
                </c:pt>
                <c:pt idx="11">
                  <c:v>L</c:v>
                </c:pt>
                <c:pt idx="12">
                  <c:v>M</c:v>
                </c:pt>
                <c:pt idx="13">
                  <c:v>N</c:v>
                </c:pt>
                <c:pt idx="14">
                  <c:v>O</c:v>
                </c:pt>
                <c:pt idx="15">
                  <c:v>P</c:v>
                </c:pt>
                <c:pt idx="16">
                  <c:v>Q</c:v>
                </c:pt>
              </c:strCache>
            </c:strRef>
          </c:cat>
          <c:val>
            <c:numRef>
              <c:f>[2]生产成本汇总表!$H$4:$H$20</c:f>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axId val="87271296"/>
        <c:axId val="87272832"/>
      </c:barChart>
      <c:catAx>
        <c:axId val="872712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272832"/>
        <c:crosses val="autoZero"/>
        <c:auto val="1"/>
        <c:lblAlgn val="ctr"/>
        <c:lblOffset val="100"/>
        <c:noMultiLvlLbl val="0"/>
      </c:catAx>
      <c:valAx>
        <c:axId val="872728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271296"/>
        <c:crosses val="autoZero"/>
        <c:crossBetween val="between"/>
      </c:valAx>
      <c:spPr>
        <a:solidFill>
          <a:srgbClr val="C0C0C0">
            <a:alpha val="100000"/>
          </a:srgbClr>
        </a:solidFill>
        <a:ln w="12700">
          <a:solidFill>
            <a:srgbClr val="808080">
              <a:alpha val="100000"/>
            </a:srgbClr>
          </a:solidFill>
          <a:prstDash val="solid"/>
        </a:ln>
        <a:effectLst/>
      </c:spPr>
    </c:plotArea>
    <c:legend>
      <c:legendPos val="t"/>
      <c:layout>
        <c:manualLayout>
          <c:xMode val="edge"/>
          <c:yMode val="edge"/>
          <c:x val="0.28375"/>
          <c:y val="0.0005"/>
          <c:w val="0.288041707396546"/>
          <c:h val="0.1238099556243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55"/>
          <c:h val="0.209"/>
        </c:manualLayout>
      </c:layout>
      <c:lineChart>
        <c:grouping val="standard"/>
        <c:varyColors val="0"/>
        <c:ser>
          <c:idx val="0"/>
          <c:order val="0"/>
          <c:tx>
            <c:strRef>
              <c:f>利润表!#REF!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利润表!#REF!</c:f>
              <c:numCache>
                <c:formatCode>General</c:formatCode>
                <c:ptCount val="1"/>
                <c:pt idx="0">
                  <c:v>1</c:v>
                </c:pt>
              </c:numCache>
            </c:numRef>
          </c:val>
          <c:smooth val="0"/>
        </c:ser>
        <c:ser>
          <c:idx val="1"/>
          <c:order val="1"/>
          <c:tx>
            <c:strRef>
              <c:f>利润表!#REF!</c:f>
              <c:strCache>
                <c:ptCount val="1"/>
                <c:pt idx="0">
                  <c:v/>
                </c:pt>
              </c:strCache>
            </c:strRef>
          </c:tx>
          <c:spPr>
            <a:ln w="12700" cap="rnd" cmpd="sng" algn="ctr">
              <a:solidFill>
                <a:srgbClr val="FF00FF"/>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4475904"/>
        <c:axId val="84477440"/>
      </c:lineChart>
      <c:catAx>
        <c:axId val="844759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477440"/>
        <c:crosses val="autoZero"/>
        <c:auto val="1"/>
        <c:lblAlgn val="ctr"/>
        <c:lblOffset val="100"/>
        <c:noMultiLvlLbl val="0"/>
      </c:catAx>
      <c:valAx>
        <c:axId val="844774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47590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4518016"/>
        <c:axId val="84519552"/>
      </c:lineChart>
      <c:catAx>
        <c:axId val="84518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519552"/>
        <c:crosses val="autoZero"/>
        <c:auto val="1"/>
        <c:lblAlgn val="ctr"/>
        <c:lblOffset val="100"/>
        <c:noMultiLvlLbl val="0"/>
      </c:catAx>
      <c:valAx>
        <c:axId val="8451955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51801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
          <c:h val="0.3582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ser>
          <c:idx val="1"/>
          <c:order val="1"/>
          <c:tx>
            <c:strRef>
              <c:f>利润表!#REF!</c:f>
              <c:strCache>
                <c:ptCount val="1"/>
                <c:pt idx="0">
                  <c:v/>
                </c:pt>
              </c:strCache>
            </c:strRef>
          </c:tx>
          <c:spPr>
            <a:ln w="12700" cap="rnd" cmpd="sng" algn="ctr">
              <a:solidFill>
                <a:srgbClr val="FF00FF"/>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4536320"/>
        <c:axId val="84542208"/>
      </c:lineChart>
      <c:catAx>
        <c:axId val="845363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542208"/>
        <c:crosses val="autoZero"/>
        <c:auto val="1"/>
        <c:lblAlgn val="ctr"/>
        <c:lblOffset val="100"/>
        <c:noMultiLvlLbl val="0"/>
      </c:catAx>
      <c:valAx>
        <c:axId val="845422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453632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6282624"/>
        <c:axId val="86284160"/>
      </c:lineChart>
      <c:catAx>
        <c:axId val="8628262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284160"/>
        <c:crosses val="autoZero"/>
        <c:auto val="1"/>
        <c:lblAlgn val="ctr"/>
        <c:lblOffset val="100"/>
        <c:noMultiLvlLbl val="0"/>
      </c:catAx>
      <c:valAx>
        <c:axId val="862841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628262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
          <c:h val="0.388"/>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ser>
          <c:idx val="1"/>
          <c:order val="1"/>
          <c:tx>
            <c:strRef>
              <c:f>利润表!#REF!</c:f>
              <c:strCache>
                <c:ptCount val="1"/>
                <c:pt idx="0">
                  <c:v/>
                </c:pt>
              </c:strCache>
            </c:strRef>
          </c:tx>
          <c:spPr>
            <a:ln w="12700" cap="rnd" cmpd="sng" algn="ctr">
              <a:solidFill>
                <a:srgbClr val="FF00FF"/>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018880"/>
        <c:axId val="85032960"/>
      </c:lineChart>
      <c:catAx>
        <c:axId val="850188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032960"/>
        <c:crosses val="autoZero"/>
        <c:auto val="1"/>
        <c:lblAlgn val="ctr"/>
        <c:lblOffset val="100"/>
        <c:noMultiLvlLbl val="0"/>
      </c:catAx>
      <c:valAx>
        <c:axId val="850329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01888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5065088"/>
        <c:axId val="87704704"/>
      </c:lineChart>
      <c:catAx>
        <c:axId val="850650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704704"/>
        <c:crosses val="autoZero"/>
        <c:auto val="1"/>
        <c:lblAlgn val="ctr"/>
        <c:lblOffset val="100"/>
        <c:noMultiLvlLbl val="0"/>
      </c:catAx>
      <c:valAx>
        <c:axId val="877047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5065088"/>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5"/>
          <c:y val="0.35825"/>
          <c:w val="0.776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7732992"/>
        <c:axId val="87734528"/>
      </c:lineChart>
      <c:catAx>
        <c:axId val="877329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734528"/>
        <c:crosses val="autoZero"/>
        <c:auto val="1"/>
        <c:lblAlgn val="ctr"/>
        <c:lblOffset val="100"/>
        <c:noMultiLvlLbl val="0"/>
      </c:catAx>
      <c:valAx>
        <c:axId val="877345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73299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利润表!#REF!</c:f>
              <c:numCache>
                <c:ptCount val="0"/>
              </c:numCache>
            </c:numRef>
          </c:cat>
          <c:val>
            <c:numRef>
              <c:f>利润表!#REF!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25"/>
          <c:y val="0.1195"/>
          <c:w val="0.91925"/>
          <c:h val="0.104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ser>
          <c:idx val="1"/>
          <c:order val="1"/>
          <c:tx>
            <c:strRef>
              <c:f>利润表!#REF!</c:f>
              <c:strCache>
                <c:ptCount val="1"/>
                <c:pt idx="0">
                  <c:v/>
                </c:pt>
              </c:strCache>
            </c:strRef>
          </c:tx>
          <c:spPr>
            <a:ln w="12700" cap="rnd" cmpd="sng" algn="ctr">
              <a:solidFill>
                <a:srgbClr val="FF00FF"/>
              </a:solidFill>
              <a:prstDash val="solid"/>
              <a:round/>
            </a:ln>
            <a:effectLst/>
          </c:spPr>
          <c:marker>
            <c:symbol val="none"/>
          </c:marker>
          <c:dLbls>
            <c:delete val="1"/>
          </c:dLbls>
          <c:val>
            <c:numRef>
              <c:f>利润表!#REF!</c:f>
              <c:numCache>
                <c:formatCode>General</c:formatCode>
                <c:ptCount val="1"/>
                <c:pt idx="0">
                  <c:v>1</c:v>
                </c:pt>
              </c:numCache>
            </c:numRef>
          </c:val>
          <c:smooth val="0"/>
        </c:ser>
        <c:ser>
          <c:idx val="2"/>
          <c:order val="2"/>
          <c:tx>
            <c:strRef>
              <c:f>利润表!#REF!</c:f>
              <c:strCache>
                <c:ptCount val="1"/>
                <c:pt idx="0">
                  <c:v/>
                </c:pt>
              </c:strCache>
            </c:strRef>
          </c:tx>
          <c:spPr>
            <a:ln w="12700" cap="rnd" cmpd="sng" algn="ctr">
              <a:solidFill>
                <a:srgbClr val="FFFF00"/>
              </a:solidFill>
              <a:prstDash val="solid"/>
              <a:round/>
            </a:ln>
            <a:effectLst/>
          </c:spPr>
          <c:marker>
            <c:symbol val="none"/>
          </c:marker>
          <c:dLbls>
            <c:delete val="1"/>
          </c:dLbls>
          <c:val>
            <c:numRef>
              <c:f>利润表!#REF!</c:f>
              <c:numCache>
                <c:formatCode>General</c:formatCode>
                <c:ptCount val="1"/>
                <c:pt idx="0">
                  <c:v>1</c:v>
                </c:pt>
              </c:numCache>
            </c:numRef>
          </c:val>
          <c:smooth val="0"/>
        </c:ser>
        <c:ser>
          <c:idx val="3"/>
          <c:order val="3"/>
          <c:tx>
            <c:strRef>
              <c:f>利润表!#REF!</c:f>
              <c:strCache>
                <c:ptCount val="1"/>
                <c:pt idx="0">
                  <c:v/>
                </c:pt>
              </c:strCache>
            </c:strRef>
          </c:tx>
          <c:spPr>
            <a:ln w="12700" cap="rnd" cmpd="sng" algn="ctr">
              <a:solidFill>
                <a:srgbClr val="00FFFF"/>
              </a:solidFill>
              <a:prstDash val="solid"/>
              <a:round/>
            </a:ln>
            <a:effectLst/>
          </c:spPr>
          <c:marker>
            <c:symbol val="none"/>
          </c:marker>
          <c:dLbls>
            <c:delete val="1"/>
          </c:dLbls>
          <c:val>
            <c:numRef>
              <c:f>利润表!#REF!</c:f>
              <c:numCache>
                <c:formatCode>General</c:formatCode>
                <c:ptCount val="1"/>
                <c:pt idx="0">
                  <c:v>1</c:v>
                </c:pt>
              </c:numCache>
            </c:numRef>
          </c:val>
          <c:smooth val="0"/>
        </c:ser>
        <c:ser>
          <c:idx val="4"/>
          <c:order val="4"/>
          <c:tx>
            <c:strRef>
              <c:f>利润表!#REF!</c:f>
              <c:strCache>
                <c:ptCount val="1"/>
                <c:pt idx="0">
                  <c:v/>
                </c:pt>
              </c:strCache>
            </c:strRef>
          </c:tx>
          <c:spPr>
            <a:ln w="12700" cap="rnd" cmpd="sng" algn="ctr">
              <a:solidFill>
                <a:srgbClr val="8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7817216"/>
        <c:axId val="87626496"/>
      </c:lineChart>
      <c:catAx>
        <c:axId val="878172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626496"/>
        <c:crosses val="autoZero"/>
        <c:auto val="1"/>
        <c:lblAlgn val="ctr"/>
        <c:lblOffset val="100"/>
        <c:noMultiLvlLbl val="0"/>
      </c:catAx>
      <c:valAx>
        <c:axId val="8762649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1721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5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95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endParaRPr sz="950" b="0" i="0" u="none" strike="noStrike">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3175">
          <a:noFill/>
        </a:ln>
        <a:effectLst/>
      </c:spPr>
    </c:title>
    <c:autoTitleDeleted val="0"/>
    <c:plotArea>
      <c:layout>
        <c:manualLayout>
          <c:layoutTarget val="inner"/>
          <c:xMode val="edge"/>
          <c:yMode val="edge"/>
          <c:x val="0.06075"/>
          <c:y val="0.199"/>
          <c:w val="0.712"/>
          <c:h val="0.61225"/>
        </c:manualLayout>
      </c:layout>
      <c:lineChart>
        <c:grouping val="standard"/>
        <c:varyColors val="0"/>
        <c:ser>
          <c:idx val="0"/>
          <c:order val="0"/>
          <c:tx>
            <c:strRef>
              <c:f>收支分析!$B$3</c:f>
              <c:strCache>
                <c:ptCount val="1"/>
                <c:pt idx="0">
                  <c:v>营业收入</c:v>
                </c:pt>
              </c:strCache>
            </c:strRef>
          </c:tx>
          <c:spPr>
            <a:ln w="12700" cap="rnd" cmpd="sng" algn="ctr">
              <a:solidFill>
                <a:srgbClr val="000080">
                  <a:alpha val="100000"/>
                </a:srgbClr>
              </a:solidFill>
              <a:prstDash val="solid"/>
              <a:round/>
            </a:ln>
            <a:effectLst/>
          </c:spPr>
          <c:marker>
            <c:symbol val="none"/>
          </c:marker>
          <c:dLbls>
            <c:delete val="1"/>
          </c:dLbls>
          <c:val>
            <c:numRef>
              <c:f>收支分析!$B$4:$B$15</c:f>
              <c:numCache>
                <c:formatCode>0.00_ </c:formatCode>
                <c:ptCount val="12"/>
              </c:numCache>
            </c:numRef>
          </c:val>
          <c:smooth val="0"/>
        </c:ser>
        <c:ser>
          <c:idx val="1"/>
          <c:order val="1"/>
          <c:tx>
            <c:strRef>
              <c:f>收支分析!$C$3</c:f>
              <c:strCache>
                <c:ptCount val="1"/>
                <c:pt idx="0">
                  <c:v>营业成本</c:v>
                </c:pt>
              </c:strCache>
            </c:strRef>
          </c:tx>
          <c:spPr>
            <a:ln w="12700" cap="rnd" cmpd="sng" algn="ctr">
              <a:solidFill>
                <a:srgbClr val="FF00FF"/>
              </a:solidFill>
              <a:prstDash val="solid"/>
              <a:round/>
            </a:ln>
            <a:effectLst/>
          </c:spPr>
          <c:marker>
            <c:symbol val="none"/>
          </c:marker>
          <c:dLbls>
            <c:delete val="1"/>
          </c:dLbls>
          <c:val>
            <c:numRef>
              <c:f>收支分析!$C$4:$C$15</c:f>
              <c:numCache>
                <c:formatCode>0.00_ </c:formatCode>
                <c:ptCount val="12"/>
              </c:numCache>
            </c:numRef>
          </c:val>
          <c:smooth val="0"/>
        </c:ser>
        <c:dLbls>
          <c:showLegendKey val="0"/>
          <c:showVal val="0"/>
          <c:showCatName val="0"/>
          <c:showSerName val="0"/>
          <c:showPercent val="0"/>
          <c:showBubbleSize val="0"/>
        </c:dLbls>
        <c:marker val="0"/>
        <c:smooth val="0"/>
        <c:axId val="82512512"/>
        <c:axId val="82522496"/>
      </c:lineChart>
      <c:catAx>
        <c:axId val="82512512"/>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22496"/>
        <c:crosses val="autoZero"/>
        <c:auto val="1"/>
        <c:lblAlgn val="ctr"/>
        <c:lblOffset val="100"/>
        <c:noMultiLvlLbl val="0"/>
      </c:catAx>
      <c:valAx>
        <c:axId val="82522496"/>
        <c:scaling>
          <c:orientation val="minMax"/>
        </c:scaling>
        <c:delete val="0"/>
        <c:axPos val="l"/>
        <c:majorGridlines>
          <c:spPr>
            <a:ln w="3175" cap="flat" cmpd="sng" algn="ctr">
              <a:solidFill>
                <a:srgbClr val="000000">
                  <a:alpha val="100000"/>
                </a:srgbClr>
              </a:solidFill>
              <a:prstDash val="solid"/>
              <a:round/>
            </a:ln>
            <a:effectLst/>
          </c:spPr>
        </c:majorGridlines>
        <c:numFmt formatCode="0.00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12512"/>
        <c:crosses val="autoZero"/>
        <c:crossBetween val="between"/>
      </c:valAx>
      <c:spPr>
        <a:noFill/>
        <a:ln w="3175">
          <a:noFill/>
        </a:ln>
        <a:effectLst/>
      </c:spPr>
    </c:plotArea>
    <c:legend>
      <c:legendPos val="r"/>
      <c:layout>
        <c:manualLayout>
          <c:xMode val="edge"/>
          <c:yMode val="edge"/>
          <c:x val="0.189"/>
          <c:y val="0.16425"/>
          <c:w val="0.5535"/>
          <c:h val="0.077"/>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5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利润表!#REF!</c:f>
              <c:strCache>
                <c:ptCount val="1"/>
                <c:pt idx="0">
                  <c:v/>
                </c:pt>
              </c:strCache>
            </c:strRef>
          </c:tx>
          <c:spPr>
            <a:ln w="12700" cap="rnd" cmpd="sng" algn="ctr">
              <a:solidFill>
                <a:srgbClr val="000080"/>
              </a:solidFill>
              <a:prstDash val="solid"/>
              <a:round/>
            </a:ln>
            <a:effectLst/>
          </c:spPr>
          <c:marker>
            <c:symbol val="none"/>
          </c:marker>
          <c:dLbls>
            <c:delete val="1"/>
          </c:dLbls>
          <c:val>
            <c:numRef>
              <c:f>利润表!#REF!</c:f>
              <c:numCache>
                <c:formatCode>General</c:formatCode>
                <c:ptCount val="1"/>
                <c:pt idx="0">
                  <c:v>1</c:v>
                </c:pt>
              </c:numCache>
            </c:numRef>
          </c:val>
          <c:smooth val="0"/>
        </c:ser>
        <c:ser>
          <c:idx val="1"/>
          <c:order val="1"/>
          <c:tx>
            <c:strRef>
              <c:f>利润表!#REF!</c:f>
              <c:strCache>
                <c:ptCount val="1"/>
                <c:pt idx="0">
                  <c:v/>
                </c:pt>
              </c:strCache>
            </c:strRef>
          </c:tx>
          <c:spPr>
            <a:ln w="12700" cap="rnd" cmpd="sng" algn="ctr">
              <a:solidFill>
                <a:srgbClr val="FF00FF"/>
              </a:solidFill>
              <a:prstDash val="solid"/>
              <a:round/>
            </a:ln>
            <a:effectLst/>
          </c:spPr>
          <c:marker>
            <c:symbol val="none"/>
          </c:marker>
          <c:dLbls>
            <c:delete val="1"/>
          </c:dLbls>
          <c:val>
            <c:numRef>
              <c:f>利润表!#REF!</c:f>
              <c:numCache>
                <c:formatCode>General</c:formatCode>
                <c:ptCount val="1"/>
                <c:pt idx="0">
                  <c:v>1</c:v>
                </c:pt>
              </c:numCache>
            </c:numRef>
          </c:val>
          <c:smooth val="0"/>
        </c:ser>
        <c:ser>
          <c:idx val="2"/>
          <c:order val="2"/>
          <c:tx>
            <c:strRef>
              <c:f>利润表!#REF!</c:f>
              <c:strCache>
                <c:ptCount val="1"/>
                <c:pt idx="0">
                  <c:v/>
                </c:pt>
              </c:strCache>
            </c:strRef>
          </c:tx>
          <c:spPr>
            <a:ln w="12700" cap="rnd" cmpd="sng" algn="ctr">
              <a:solidFill>
                <a:srgbClr val="FFFF00"/>
              </a:solidFill>
              <a:prstDash val="solid"/>
              <a:round/>
            </a:ln>
            <a:effectLst/>
          </c:spPr>
          <c:marker>
            <c:symbol val="none"/>
          </c:marker>
          <c:dLbls>
            <c:delete val="1"/>
          </c:dLbls>
          <c:val>
            <c:numRef>
              <c:f>利润表!#REF!</c:f>
              <c:numCache>
                <c:formatCode>General</c:formatCode>
                <c:ptCount val="1"/>
                <c:pt idx="0">
                  <c:v>1</c:v>
                </c:pt>
              </c:numCache>
            </c:numRef>
          </c:val>
          <c:smooth val="0"/>
        </c:ser>
        <c:ser>
          <c:idx val="3"/>
          <c:order val="3"/>
          <c:tx>
            <c:strRef>
              <c:f>利润表!#REF!</c:f>
              <c:strCache>
                <c:ptCount val="1"/>
                <c:pt idx="0">
                  <c:v/>
                </c:pt>
              </c:strCache>
            </c:strRef>
          </c:tx>
          <c:spPr>
            <a:ln w="12700" cap="rnd" cmpd="sng" algn="ctr">
              <a:solidFill>
                <a:srgbClr val="00FFFF"/>
              </a:solidFill>
              <a:prstDash val="solid"/>
              <a:round/>
            </a:ln>
            <a:effectLst/>
          </c:spPr>
          <c:marker>
            <c:symbol val="none"/>
          </c:marker>
          <c:dLbls>
            <c:delete val="1"/>
          </c:dLbls>
          <c:val>
            <c:numRef>
              <c:f>利润表!#REF!</c:f>
              <c:numCache>
                <c:formatCode>General</c:formatCode>
                <c:ptCount val="1"/>
                <c:pt idx="0">
                  <c:v>1</c:v>
                </c:pt>
              </c:numCache>
            </c:numRef>
          </c:val>
          <c:smooth val="0"/>
        </c:ser>
        <c:ser>
          <c:idx val="4"/>
          <c:order val="4"/>
          <c:tx>
            <c:strRef>
              <c:f>利润表!#REF!</c:f>
              <c:strCache>
                <c:ptCount val="1"/>
                <c:pt idx="0">
                  <c:v/>
                </c:pt>
              </c:strCache>
            </c:strRef>
          </c:tx>
          <c:spPr>
            <a:ln w="12700" cap="rnd" cmpd="sng" algn="ctr">
              <a:solidFill>
                <a:srgbClr val="800080"/>
              </a:solidFill>
              <a:prstDash val="solid"/>
              <a:round/>
            </a:ln>
            <a:effectLst/>
          </c:spPr>
          <c:marker>
            <c:symbol val="none"/>
          </c:marker>
          <c:dLbls>
            <c:delete val="1"/>
          </c:dLbls>
          <c:val>
            <c:numRef>
              <c:f>利润表!#REF!</c:f>
              <c:numCache>
                <c:formatCode>General</c:formatCode>
                <c:ptCount val="1"/>
                <c:pt idx="0">
                  <c:v>1</c:v>
                </c:pt>
              </c:numCache>
            </c:numRef>
          </c:val>
          <c:smooth val="0"/>
        </c:ser>
        <c:dLbls>
          <c:showLegendKey val="0"/>
          <c:showVal val="0"/>
          <c:showCatName val="0"/>
          <c:showSerName val="0"/>
          <c:showPercent val="0"/>
          <c:showBubbleSize val="0"/>
        </c:dLbls>
        <c:marker val="0"/>
        <c:smooth val="0"/>
        <c:axId val="87657472"/>
        <c:axId val="87675648"/>
      </c:lineChart>
      <c:catAx>
        <c:axId val="876574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675648"/>
        <c:crosses val="autoZero"/>
        <c:auto val="1"/>
        <c:lblAlgn val="ctr"/>
        <c:lblOffset val="100"/>
        <c:noMultiLvlLbl val="0"/>
      </c:catAx>
      <c:valAx>
        <c:axId val="876756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65747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7896832"/>
        <c:axId val="87898368"/>
      </c:barChart>
      <c:catAx>
        <c:axId val="878968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98368"/>
        <c:crosses val="autoZero"/>
        <c:auto val="1"/>
        <c:lblAlgn val="ctr"/>
        <c:lblOffset val="100"/>
        <c:noMultiLvlLbl val="0"/>
      </c:catAx>
      <c:valAx>
        <c:axId val="878983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9683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2925"/>
          <c:h val="0.46275"/>
        </c:manualLayout>
      </c:layout>
      <c:barChart>
        <c:barDir val="col"/>
        <c:grouping val="clustered"/>
        <c:varyColors val="0"/>
        <c:ser>
          <c:idx val="0"/>
          <c:order val="0"/>
          <c:tx>
            <c:strRef>
              <c:f>利润表!#REF!</c:f>
              <c:strCache>
                <c:ptCount val="1"/>
                <c:pt idx="0">
                  <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利润表!#REF!</c:f>
              <c:strCache>
                <c:ptCount val="1"/>
                <c:pt idx="0">
                  <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2"/>
          <c:order val="2"/>
          <c:tx>
            <c:strRef>
              <c:f>利润表!#REF!</c:f>
              <c:strCache>
                <c:ptCount val="1"/>
                <c:pt idx="0">
                  <c:v/>
                </c:pt>
              </c:strCache>
            </c:strRef>
          </c:tx>
          <c:spPr>
            <a:solidFill>
              <a:srgbClr val="FFFFCC"/>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3"/>
          <c:order val="3"/>
          <c:tx>
            <c:strRef>
              <c:f>利润表!#REF!</c:f>
              <c:strCache>
                <c:ptCount val="1"/>
                <c:pt idx="0">
                  <c:v/>
                </c:pt>
              </c:strCache>
            </c:strRef>
          </c:tx>
          <c:spPr>
            <a:solidFill>
              <a:srgbClr val="CCFF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7846912"/>
        <c:axId val="87848448"/>
      </c:barChart>
      <c:catAx>
        <c:axId val="878469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48448"/>
        <c:crosses val="autoZero"/>
        <c:auto val="1"/>
        <c:lblAlgn val="ctr"/>
        <c:lblOffset val="100"/>
        <c:noMultiLvlLbl val="0"/>
      </c:catAx>
      <c:valAx>
        <c:axId val="878484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4691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135"/>
          <c:h val="0.403"/>
        </c:manualLayout>
      </c:layout>
      <c:barChart>
        <c:barDir val="col"/>
        <c:grouping val="clustered"/>
        <c:varyColors val="0"/>
        <c:ser>
          <c:idx val="0"/>
          <c:order val="0"/>
          <c:tx>
            <c:strRef>
              <c:f>利润表!#REF!</c:f>
              <c:strCache>
                <c:ptCount val="1"/>
                <c:pt idx="0">
                  <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利润表!#REF!</c:f>
              <c:strCache>
                <c:ptCount val="1"/>
                <c:pt idx="0">
                  <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2"/>
          <c:order val="2"/>
          <c:tx>
            <c:strRef>
              <c:f>利润表!#REF!</c:f>
              <c:strCache>
                <c:ptCount val="1"/>
                <c:pt idx="0">
                  <c:v/>
                </c:pt>
              </c:strCache>
            </c:strRef>
          </c:tx>
          <c:spPr>
            <a:solidFill>
              <a:srgbClr val="FFFFCC"/>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3"/>
          <c:order val="3"/>
          <c:tx>
            <c:strRef>
              <c:f>利润表!#REF!</c:f>
              <c:strCache>
                <c:ptCount val="1"/>
                <c:pt idx="0">
                  <c:v/>
                </c:pt>
              </c:strCache>
            </c:strRef>
          </c:tx>
          <c:spPr>
            <a:solidFill>
              <a:srgbClr val="CCFF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7878656"/>
        <c:axId val="87954176"/>
      </c:barChart>
      <c:catAx>
        <c:axId val="8787865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954176"/>
        <c:crosses val="autoZero"/>
        <c:auto val="1"/>
        <c:lblAlgn val="ctr"/>
        <c:lblOffset val="100"/>
        <c:noMultiLvlLbl val="0"/>
      </c:catAx>
      <c:valAx>
        <c:axId val="879541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87865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7995136"/>
        <c:axId val="87996672"/>
      </c:barChart>
      <c:catAx>
        <c:axId val="879951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996672"/>
        <c:crosses val="autoZero"/>
        <c:auto val="1"/>
        <c:lblAlgn val="ctr"/>
        <c:lblOffset val="100"/>
        <c:noMultiLvlLbl val="0"/>
      </c:catAx>
      <c:valAx>
        <c:axId val="879966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79951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8090880"/>
        <c:axId val="88096768"/>
      </c:barChart>
      <c:catAx>
        <c:axId val="880908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096768"/>
        <c:crosses val="autoZero"/>
        <c:auto val="1"/>
        <c:lblAlgn val="ctr"/>
        <c:lblOffset val="100"/>
        <c:noMultiLvlLbl val="0"/>
      </c:catAx>
      <c:valAx>
        <c:axId val="8809676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09088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8129536"/>
        <c:axId val="88131072"/>
      </c:barChart>
      <c:catAx>
        <c:axId val="8812953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31072"/>
        <c:crosses val="autoZero"/>
        <c:auto val="1"/>
        <c:lblAlgn val="ctr"/>
        <c:lblOffset val="100"/>
        <c:noMultiLvlLbl val="0"/>
      </c:catAx>
      <c:valAx>
        <c:axId val="8813107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29536"/>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利润表!#REF!</c:f>
              <c:numCache>
                <c:ptCount val="0"/>
              </c:numCache>
            </c:numRef>
          </c:cat>
          <c:val>
            <c:numRef>
              <c:f>利润表!#REF!</c:f>
              <c:numCache>
                <c:formatCode>General</c:formatCode>
                <c:ptCount val="1"/>
                <c:pt idx="0">
                  <c:v>1</c:v>
                </c:pt>
              </c:numCache>
            </c:numRef>
          </c:val>
        </c:ser>
        <c:dLbls>
          <c:showLegendKey val="0"/>
          <c:showVal val="0"/>
          <c:showCatName val="0"/>
          <c:showSerName val="0"/>
          <c:showPercent val="0"/>
          <c:showBubbleSize val="0"/>
        </c:dLbls>
        <c:gapWidth val="150"/>
        <c:axId val="88040960"/>
        <c:axId val="88042496"/>
      </c:barChart>
      <c:catAx>
        <c:axId val="8804096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042496"/>
        <c:crosses val="autoZero"/>
        <c:auto val="1"/>
        <c:lblAlgn val="ctr"/>
        <c:lblOffset val="100"/>
        <c:noMultiLvlLbl val="0"/>
      </c:catAx>
      <c:valAx>
        <c:axId val="8804249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04096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5"/>
          <c:y val="0.06125"/>
          <c:w val="0.84325"/>
          <c:h val="0.6135"/>
        </c:manualLayout>
      </c:layout>
      <c:barChart>
        <c:barDir val="col"/>
        <c:grouping val="clustered"/>
        <c:varyColors val="0"/>
        <c:ser>
          <c:idx val="0"/>
          <c:order val="0"/>
          <c:tx>
            <c:strRef>
              <c:f>[2]A产品成本分析表!$B$14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[2]A产品成本分析表!$C$14:$N$14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[2]A产品成本分析表!$B$15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[2]A产品成本分析表!$C$15:$N$15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[2]A产品成本分析表!$B$16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[2]A产品成本分析表!$C$16:$N$16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[2]A产品成本分析表!$B$17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[2]A产品成本分析表!$C$17:$N$17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88146688"/>
        <c:axId val="88148224"/>
      </c:barChart>
      <c:catAx>
        <c:axId val="881466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48224"/>
        <c:crosses val="autoZero"/>
        <c:auto val="1"/>
        <c:lblAlgn val="ctr"/>
        <c:lblOffset val="100"/>
        <c:noMultiLvlLbl val="0"/>
      </c:catAx>
      <c:valAx>
        <c:axId val="881482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4668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325"/>
          <c:y val="0.82225"/>
          <c:w val="0.52"/>
          <c:h val="0.169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17500000000001"/>
          <c:y val="0.0915"/>
          <c:w val="0.904"/>
          <c:h val="0.6525"/>
        </c:manualLayout>
      </c:layout>
      <c:lineChart>
        <c:grouping val="standard"/>
        <c:varyColors val="0"/>
        <c:ser>
          <c:idx val="0"/>
          <c:order val="0"/>
          <c:tx>
            <c:strRef>
              <c:f>[2]A产品成本分析表!$B$11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[2]A产品成本分析表!$C$11:$N$11</c:f>
              <c:numCache>
                <c:formatCode>General</c:formatCode>
                <c:ptCount val="12"/>
              </c:numCache>
            </c:numRef>
          </c:val>
          <c:smooth val="0"/>
        </c:ser>
        <c:ser>
          <c:idx val="1"/>
          <c:order val="1"/>
          <c:tx>
            <c:strRef>
              <c:f>[2]A产品成本分析表!$B$12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[2]A产品成本分析表!$C$12:$N$12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8185088"/>
        <c:axId val="88190976"/>
      </c:lineChart>
      <c:catAx>
        <c:axId val="881850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90976"/>
        <c:crosses val="autoZero"/>
        <c:auto val="1"/>
        <c:lblAlgn val="ctr"/>
        <c:lblOffset val="100"/>
        <c:noMultiLvlLbl val="0"/>
      </c:catAx>
      <c:valAx>
        <c:axId val="881909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18508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7525"/>
          <c:y val="0.8785"/>
          <c:w val="0.49075"/>
          <c:h val="0.1147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0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900" b="0" i="0" u="none" strike="noStrike">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3175">
          <a:noFill/>
        </a:ln>
        <a:effectLst/>
      </c:spPr>
    </c:title>
    <c:autoTitleDeleted val="0"/>
    <c:plotArea>
      <c:layout>
        <c:manualLayout>
          <c:layoutTarget val="inner"/>
          <c:xMode val="edge"/>
          <c:yMode val="edge"/>
          <c:x val="0.174"/>
          <c:y val="0.14525"/>
          <c:w val="0.705"/>
          <c:h val="0.656750000000001"/>
        </c:manualLayout>
      </c:layout>
      <c:lineChart>
        <c:grouping val="standard"/>
        <c:varyColors val="0"/>
        <c:ser>
          <c:idx val="0"/>
          <c:order val="0"/>
          <c:tx>
            <c:strRef>
              <c:f>收支分析!$F$3</c:f>
              <c:strCache>
                <c:ptCount val="1"/>
                <c:pt idx="0">
                  <c:v>销售成本率</c:v>
                </c:pt>
              </c:strCache>
            </c:strRef>
          </c:tx>
          <c:spPr>
            <a:ln w="12700" cap="rnd" cmpd="sng" algn="ctr">
              <a:solidFill>
                <a:srgbClr val="000080"/>
              </a:solidFill>
              <a:prstDash val="solid"/>
              <a:round/>
            </a:ln>
            <a:effectLst/>
          </c:spPr>
          <c:marker>
            <c:symbol val="none"/>
          </c:marker>
          <c:dLbls>
            <c:delete val="1"/>
          </c:dLbls>
          <c:val>
            <c:numRef>
              <c:f>收支分析!$F$4:$F$15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2550784"/>
        <c:axId val="82552320"/>
      </c:lineChart>
      <c:catAx>
        <c:axId val="82550784"/>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52320"/>
        <c:crosses val="autoZero"/>
        <c:auto val="1"/>
        <c:lblAlgn val="ctr"/>
        <c:lblOffset val="100"/>
        <c:noMultiLvlLbl val="0"/>
      </c:catAx>
      <c:valAx>
        <c:axId val="82552320"/>
        <c:scaling>
          <c:orientation val="minMax"/>
        </c:scaling>
        <c:delete val="0"/>
        <c:axPos val="l"/>
        <c:majorGridlines>
          <c:spPr>
            <a:ln w="3175" cap="flat" cmpd="sng" algn="ctr">
              <a:solidFill>
                <a:srgbClr val="000000">
                  <a:alpha val="100000"/>
                </a:srgbClr>
              </a:solidFill>
              <a:prstDash val="solid"/>
              <a:round/>
            </a:ln>
            <a:effectLst/>
          </c:spPr>
        </c:majorGridlines>
        <c:numFmt formatCode="0.00%"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50784"/>
        <c:crosses val="autoZero"/>
        <c:crossBetween val="between"/>
      </c:valAx>
      <c:spPr>
        <a:noFill/>
        <a:ln w="3175">
          <a:noFill/>
        </a:ln>
        <a:effectLst/>
      </c:spPr>
    </c:plotArea>
    <c:legend>
      <c:legendPos val="r"/>
      <c:layout>
        <c:manualLayout>
          <c:xMode val="edge"/>
          <c:yMode val="edge"/>
          <c:x val="0.55675"/>
          <c:y val="0.1135"/>
          <c:w val="0.24525"/>
          <c:h val="0.0807500000000001"/>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07500000000001"/>
          <c:y val="0.06825"/>
          <c:w val="0.9005"/>
          <c:h val="0.59"/>
        </c:manualLayout>
      </c:layout>
      <c:lineChart>
        <c:grouping val="standard"/>
        <c:varyColors val="0"/>
        <c:ser>
          <c:idx val="0"/>
          <c:order val="0"/>
          <c:tx>
            <c:strRef>
              <c:f>[2]A产品成本分析表!$B$5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[2]A产品成本分析表!$C$5:$N$5</c:f>
              <c:numCache>
                <c:formatCode>General</c:formatCode>
                <c:ptCount val="12"/>
              </c:numCache>
            </c:numRef>
          </c:val>
          <c:smooth val="0"/>
        </c:ser>
        <c:ser>
          <c:idx val="1"/>
          <c:order val="1"/>
          <c:tx>
            <c:strRef>
              <c:f>[2]A产品成本分析表!$B$6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[2]A产品成本分析表!$C$6:$N$6</c:f>
              <c:numCache>
                <c:formatCode>General</c:formatCode>
                <c:ptCount val="12"/>
              </c:numCache>
            </c:numRef>
          </c:val>
          <c:smooth val="0"/>
        </c:ser>
        <c:ser>
          <c:idx val="2"/>
          <c:order val="2"/>
          <c:tx>
            <c:strRef>
              <c:f>[2]A产品成本分析表!$B$7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[2]A产品成本分析表!$C$7:$N$7</c:f>
              <c:numCache>
                <c:formatCode>General</c:formatCode>
                <c:ptCount val="12"/>
              </c:numCache>
            </c:numRef>
          </c:val>
          <c:smooth val="0"/>
        </c:ser>
        <c:ser>
          <c:idx val="3"/>
          <c:order val="3"/>
          <c:tx>
            <c:strRef>
              <c:f>[2]A产品成本分析表!$B$8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[2]A产品成本分析表!$C$8:$N$8</c:f>
              <c:numCache>
                <c:formatCode>General</c:formatCode>
                <c:ptCount val="12"/>
              </c:numCache>
            </c:numRef>
          </c:val>
          <c:smooth val="0"/>
        </c:ser>
        <c:ser>
          <c:idx val="4"/>
          <c:order val="4"/>
          <c:tx>
            <c:strRef>
              <c:f>[2]A产品成本分析表!$B$11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[2]A产品成本分析表!$C$11:$N$11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88303872"/>
        <c:axId val="88309760"/>
      </c:lineChart>
      <c:catAx>
        <c:axId val="883038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09760"/>
        <c:crosses val="autoZero"/>
        <c:auto val="1"/>
        <c:lblAlgn val="ctr"/>
        <c:lblOffset val="100"/>
        <c:noMultiLvlLbl val="0"/>
      </c:catAx>
      <c:valAx>
        <c:axId val="8830976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0387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55"/>
          <c:h val="0.209"/>
        </c:manualLayout>
      </c:layout>
      <c:lineChart>
        <c:grouping val="standard"/>
        <c:varyColors val="0"/>
        <c:ser>
          <c:idx val="0"/>
          <c:order val="0"/>
          <c:tx>
            <c:strRef>
              <c:f>资产负债表分析!#REF!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1"/>
          <c:order val="1"/>
          <c:tx>
            <c:strRef>
              <c:f>资产负债表分析!#REF!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342912"/>
        <c:axId val="88344448"/>
      </c:lineChart>
      <c:catAx>
        <c:axId val="883429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44448"/>
        <c:crosses val="autoZero"/>
        <c:auto val="1"/>
        <c:lblAlgn val="ctr"/>
        <c:lblOffset val="100"/>
        <c:noMultiLvlLbl val="0"/>
      </c:catAx>
      <c:valAx>
        <c:axId val="883444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42912"/>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364544"/>
        <c:axId val="88366080"/>
      </c:lineChart>
      <c:catAx>
        <c:axId val="883645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66080"/>
        <c:crosses val="autoZero"/>
        <c:auto val="1"/>
        <c:lblAlgn val="ctr"/>
        <c:lblOffset val="100"/>
        <c:noMultiLvlLbl val="0"/>
      </c:catAx>
      <c:valAx>
        <c:axId val="8836608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364544"/>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
          <c:h val="0.3582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1"/>
          <c:order val="1"/>
          <c:tx>
            <c:strRef>
              <c:f>资产负债表分析!#REF!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411520"/>
        <c:axId val="88421504"/>
      </c:lineChart>
      <c:catAx>
        <c:axId val="884115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21504"/>
        <c:crosses val="autoZero"/>
        <c:auto val="1"/>
        <c:lblAlgn val="ctr"/>
        <c:lblOffset val="100"/>
        <c:noMultiLvlLbl val="0"/>
      </c:catAx>
      <c:valAx>
        <c:axId val="884215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11520"/>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445696"/>
        <c:axId val="88447232"/>
      </c:lineChart>
      <c:catAx>
        <c:axId val="8844569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47232"/>
        <c:crosses val="autoZero"/>
        <c:auto val="1"/>
        <c:lblAlgn val="ctr"/>
        <c:lblOffset val="100"/>
        <c:noMultiLvlLbl val="0"/>
      </c:catAx>
      <c:valAx>
        <c:axId val="88447232"/>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45696"/>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
          <c:h val="0.388"/>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1"/>
          <c:order val="1"/>
          <c:tx>
            <c:strRef>
              <c:f>资产负债表分析!#REF!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558208"/>
        <c:axId val="88572288"/>
      </c:lineChart>
      <c:catAx>
        <c:axId val="8855820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572288"/>
        <c:crosses val="autoZero"/>
        <c:auto val="1"/>
        <c:lblAlgn val="ctr"/>
        <c:lblOffset val="100"/>
        <c:noMultiLvlLbl val="0"/>
      </c:catAx>
      <c:valAx>
        <c:axId val="8857228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55820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473600"/>
        <c:axId val="88475136"/>
      </c:lineChart>
      <c:catAx>
        <c:axId val="884736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75136"/>
        <c:crosses val="autoZero"/>
        <c:auto val="1"/>
        <c:lblAlgn val="ctr"/>
        <c:lblOffset val="100"/>
        <c:noMultiLvlLbl val="0"/>
      </c:catAx>
      <c:valAx>
        <c:axId val="884751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47360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5"/>
          <c:y val="0.35825"/>
          <c:w val="0.776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507520"/>
        <c:axId val="88509056"/>
      </c:lineChart>
      <c:catAx>
        <c:axId val="885075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509056"/>
        <c:crosses val="autoZero"/>
        <c:auto val="1"/>
        <c:lblAlgn val="ctr"/>
        <c:lblOffset val="100"/>
        <c:noMultiLvlLbl val="0"/>
      </c:catAx>
      <c:valAx>
        <c:axId val="885090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507520"/>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25"/>
          <c:y val="0.1195"/>
          <c:w val="0.91925"/>
          <c:h val="0.104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1"/>
          <c:order val="1"/>
          <c:tx>
            <c:strRef>
              <c:f>资产负债表分析!#REF!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2"/>
          <c:order val="2"/>
          <c:tx>
            <c:strRef>
              <c:f>资产负债表分析!#REF!</c:f>
              <c:strCache>
                <c:ptCount val="1"/>
                <c:pt idx="0">
                  <c:v/>
                </c:pt>
              </c:strCache>
            </c:strRef>
          </c:tx>
          <c:spPr>
            <a:ln w="12700" cap="rnd" cmpd="sng" algn="ctr">
              <a:solidFill>
                <a:srgbClr val="FFFF0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3"/>
          <c:order val="3"/>
          <c:tx>
            <c:strRef>
              <c:f>资产负债表分析!#REF!</c:f>
              <c:strCache>
                <c:ptCount val="1"/>
                <c:pt idx="0">
                  <c:v/>
                </c:pt>
              </c:strCache>
            </c:strRef>
          </c:tx>
          <c:spPr>
            <a:ln w="12700" cap="rnd" cmpd="sng" algn="ctr">
              <a:solidFill>
                <a:srgbClr val="00FFFF"/>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4"/>
          <c:order val="4"/>
          <c:tx>
            <c:strRef>
              <c:f>资产负债表分析!#REF!</c:f>
              <c:strCache>
                <c:ptCount val="1"/>
                <c:pt idx="0">
                  <c:v/>
                </c:pt>
              </c:strCache>
            </c:strRef>
          </c:tx>
          <c:spPr>
            <a:ln w="12700" cap="rnd" cmpd="sng" algn="ctr">
              <a:solidFill>
                <a:srgbClr val="8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644992"/>
        <c:axId val="88667264"/>
      </c:lineChart>
      <c:catAx>
        <c:axId val="886449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667264"/>
        <c:crosses val="autoZero"/>
        <c:auto val="1"/>
        <c:lblAlgn val="ctr"/>
        <c:lblOffset val="100"/>
        <c:noMultiLvlLbl val="0"/>
      </c:catAx>
      <c:valAx>
        <c:axId val="886672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64499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00" b="0" i="0" u="none" strike="noStrike" kern="1200" baseline="0">
                <a:solidFill>
                  <a:srgbClr val="000000">
                    <a:alpha val="100000"/>
                  </a:srgbClr>
                </a:solidFill>
                <a:latin typeface="Times New Roman" panose="02020603050405020304" charset="-122"/>
                <a:ea typeface="Times New Roman" panose="02020603050405020304" charset="-122"/>
                <a:cs typeface="Times New Roman" panose="02020603050405020304" charset="-122"/>
              </a:defRPr>
            </a:pPr>
            <a:r>
              <a:t>销售收入、费用对比表</a:t>
            </a:r>
            <a:endParaRPr sz="900" b="0" i="0" u="none" strike="noStrike">
              <a:solidFill>
                <a:srgbClr val="000000">
                  <a:alpha val="100000"/>
                </a:srgbClr>
              </a:solidFill>
              <a:latin typeface="Times New Roman" panose="02020603050405020304" charset="-122"/>
              <a:ea typeface="Times New Roman" panose="02020603050405020304" charset="-122"/>
              <a:cs typeface="Times New Roman" panose="02020603050405020304" charset="-122"/>
            </a:endParaRPr>
          </a:p>
        </c:rich>
      </c:tx>
      <c:layout>
        <c:manualLayout>
          <c:x val="-0.00675"/>
          <c:y val="0"/>
        </c:manualLayout>
      </c:layout>
      <c:overlay val="0"/>
      <c:spPr>
        <a:noFill/>
        <a:ln w="3175">
          <a:noFill/>
        </a:ln>
        <a:effectLst/>
      </c:spPr>
    </c:title>
    <c:autoTitleDeleted val="0"/>
    <c:plotArea>
      <c:layout>
        <c:manualLayout>
          <c:layoutTarget val="inner"/>
          <c:xMode val="edge"/>
          <c:yMode val="edge"/>
          <c:x val="0.07825"/>
          <c:y val="0.20675"/>
          <c:w val="0.7465"/>
          <c:h val="0.668000000000001"/>
        </c:manualLayout>
      </c:layout>
      <c:lineChart>
        <c:grouping val="standard"/>
        <c:varyColors val="0"/>
        <c:ser>
          <c:idx val="0"/>
          <c:order val="0"/>
          <c:tx>
            <c:strRef>
              <c:f>收支分析!$B$3</c:f>
              <c:strCache>
                <c:ptCount val="1"/>
                <c:pt idx="0">
                  <c:v>营业收入</c:v>
                </c:pt>
              </c:strCache>
            </c:strRef>
          </c:tx>
          <c:spPr>
            <a:ln w="12700" cap="rnd" cmpd="sng" algn="ctr">
              <a:solidFill>
                <a:srgbClr val="000080"/>
              </a:solidFill>
              <a:prstDash val="solid"/>
              <a:round/>
            </a:ln>
            <a:effectLst/>
          </c:spPr>
          <c:marker>
            <c:symbol val="none"/>
          </c:marker>
          <c:dLbls>
            <c:delete val="1"/>
          </c:dLbls>
          <c:val>
            <c:numRef>
              <c:f>收支分析!$B$4:$B$15</c:f>
              <c:numCache>
                <c:formatCode>0.00_ </c:formatCode>
                <c:ptCount val="12"/>
              </c:numCache>
            </c:numRef>
          </c:val>
          <c:smooth val="0"/>
        </c:ser>
        <c:ser>
          <c:idx val="1"/>
          <c:order val="1"/>
          <c:tx>
            <c:strRef>
              <c:f>收支分析!$D$3</c:f>
              <c:strCache>
                <c:ptCount val="1"/>
                <c:pt idx="0">
                  <c:v>销售费用</c:v>
                </c:pt>
              </c:strCache>
            </c:strRef>
          </c:tx>
          <c:spPr>
            <a:ln w="12700" cap="rnd" cmpd="sng" algn="ctr">
              <a:solidFill>
                <a:srgbClr val="FF00FF"/>
              </a:solidFill>
              <a:prstDash val="solid"/>
              <a:round/>
            </a:ln>
            <a:effectLst/>
          </c:spPr>
          <c:marker>
            <c:symbol val="none"/>
          </c:marker>
          <c:dLbls>
            <c:delete val="1"/>
          </c:dLbls>
          <c:val>
            <c:numRef>
              <c:f>收支分析!$D$4:$D$15</c:f>
              <c:numCache>
                <c:formatCode>0.00_ </c:formatCode>
                <c:ptCount val="12"/>
              </c:numCache>
            </c:numRef>
          </c:val>
          <c:smooth val="0"/>
        </c:ser>
        <c:dLbls>
          <c:showLegendKey val="0"/>
          <c:showVal val="0"/>
          <c:showCatName val="0"/>
          <c:showSerName val="0"/>
          <c:showPercent val="0"/>
          <c:showBubbleSize val="0"/>
        </c:dLbls>
        <c:marker val="0"/>
        <c:smooth val="0"/>
        <c:axId val="82671488"/>
        <c:axId val="82673024"/>
      </c:lineChart>
      <c:catAx>
        <c:axId val="82671488"/>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673024"/>
        <c:crosses val="autoZero"/>
        <c:auto val="1"/>
        <c:lblAlgn val="ctr"/>
        <c:lblOffset val="100"/>
        <c:noMultiLvlLbl val="0"/>
      </c:catAx>
      <c:valAx>
        <c:axId val="82673024"/>
        <c:scaling>
          <c:orientation val="minMax"/>
        </c:scaling>
        <c:delete val="0"/>
        <c:axPos val="l"/>
        <c:majorGridlines>
          <c:spPr>
            <a:ln w="3175" cap="flat" cmpd="sng" algn="ctr">
              <a:solidFill>
                <a:srgbClr val="000000">
                  <a:alpha val="100000"/>
                </a:srgbClr>
              </a:solidFill>
              <a:prstDash val="solid"/>
              <a:round/>
            </a:ln>
            <a:effectLst/>
          </c:spPr>
        </c:majorGridlines>
        <c:numFmt formatCode="0.00_ "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0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671488"/>
        <c:crosses val="autoZero"/>
        <c:crossBetween val="between"/>
      </c:valAx>
      <c:spPr>
        <a:noFill/>
        <a:ln w="3175">
          <a:noFill/>
        </a:ln>
        <a:effectLst/>
      </c:spPr>
    </c:plotArea>
    <c:legend>
      <c:legendPos val="r"/>
      <c:layout>
        <c:manualLayout>
          <c:xMode val="edge"/>
          <c:yMode val="edge"/>
          <c:x val="0.7245"/>
          <c:y val="0.00825000000000001"/>
          <c:w val="0.20925"/>
          <c:h val="0.20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25"/>
          <c:y val="0.04475"/>
          <c:w val="0.951"/>
          <c:h val="0.1045"/>
        </c:manualLayout>
      </c:layout>
      <c:lineChart>
        <c:grouping val="standard"/>
        <c:varyColors val="0"/>
        <c:ser>
          <c:idx val="0"/>
          <c:order val="0"/>
          <c:tx>
            <c:strRef>
              <c:f>资产负债表分析!#REF!</c:f>
              <c:strCache>
                <c:ptCount val="1"/>
                <c:pt idx="0">
                  <c:v/>
                </c:pt>
              </c:strCache>
            </c:strRef>
          </c:tx>
          <c:spPr>
            <a:ln w="12700" cap="rnd" cmpd="sng" algn="ctr">
              <a:solidFill>
                <a:srgbClr val="0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1"/>
          <c:order val="1"/>
          <c:tx>
            <c:strRef>
              <c:f>资产负债表分析!#REF!</c:f>
              <c:strCache>
                <c:ptCount val="1"/>
                <c:pt idx="0">
                  <c:v/>
                </c:pt>
              </c:strCache>
            </c:strRef>
          </c:tx>
          <c:spPr>
            <a:ln w="12700" cap="rnd" cmpd="sng" algn="ctr">
              <a:solidFill>
                <a:srgbClr val="FF00FF"/>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2"/>
          <c:order val="2"/>
          <c:tx>
            <c:strRef>
              <c:f>资产负债表分析!#REF!</c:f>
              <c:strCache>
                <c:ptCount val="1"/>
                <c:pt idx="0">
                  <c:v/>
                </c:pt>
              </c:strCache>
            </c:strRef>
          </c:tx>
          <c:spPr>
            <a:ln w="12700" cap="rnd" cmpd="sng" algn="ctr">
              <a:solidFill>
                <a:srgbClr val="FFFF00"/>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3"/>
          <c:order val="3"/>
          <c:tx>
            <c:strRef>
              <c:f>资产负债表分析!#REF!</c:f>
              <c:strCache>
                <c:ptCount val="1"/>
                <c:pt idx="0">
                  <c:v/>
                </c:pt>
              </c:strCache>
            </c:strRef>
          </c:tx>
          <c:spPr>
            <a:ln w="12700" cap="rnd" cmpd="sng" algn="ctr">
              <a:solidFill>
                <a:srgbClr val="00FFFF"/>
              </a:solidFill>
              <a:prstDash val="solid"/>
              <a:round/>
            </a:ln>
            <a:effectLst/>
          </c:spPr>
          <c:marker>
            <c:symbol val="none"/>
          </c:marker>
          <c:dLbls>
            <c:delete val="1"/>
          </c:dLbls>
          <c:val>
            <c:numRef>
              <c:f>资产负债表分析!#REF!</c:f>
              <c:numCache>
                <c:formatCode>General</c:formatCode>
                <c:ptCount val="1"/>
                <c:pt idx="0">
                  <c:v>1</c:v>
                </c:pt>
              </c:numCache>
            </c:numRef>
          </c:val>
          <c:smooth val="0"/>
        </c:ser>
        <c:ser>
          <c:idx val="4"/>
          <c:order val="4"/>
          <c:tx>
            <c:strRef>
              <c:f>资产负债表分析!#REF!</c:f>
              <c:strCache>
                <c:ptCount val="1"/>
                <c:pt idx="0">
                  <c:v/>
                </c:pt>
              </c:strCache>
            </c:strRef>
          </c:tx>
          <c:spPr>
            <a:ln w="12700" cap="rnd" cmpd="sng" algn="ctr">
              <a:solidFill>
                <a:srgbClr val="800080"/>
              </a:solidFill>
              <a:prstDash val="solid"/>
              <a:round/>
            </a:ln>
            <a:effectLst/>
          </c:spPr>
          <c:marker>
            <c:symbol val="none"/>
          </c:marker>
          <c:dLbls>
            <c:delete val="1"/>
          </c:dLbls>
          <c:val>
            <c:numRef>
              <c:f>资产负债表分析!#REF!</c:f>
              <c:numCache>
                <c:formatCode>General</c:formatCode>
                <c:ptCount val="1"/>
                <c:pt idx="0">
                  <c:v>1</c:v>
                </c:pt>
              </c:numCache>
            </c:numRef>
          </c:val>
          <c:smooth val="0"/>
        </c:ser>
        <c:dLbls>
          <c:showLegendKey val="0"/>
          <c:showVal val="0"/>
          <c:showCatName val="0"/>
          <c:showSerName val="0"/>
          <c:showPercent val="0"/>
          <c:showBubbleSize val="0"/>
        </c:dLbls>
        <c:marker val="0"/>
        <c:smooth val="0"/>
        <c:axId val="88706432"/>
        <c:axId val="88716416"/>
      </c:lineChart>
      <c:catAx>
        <c:axId val="8870643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16416"/>
        <c:crosses val="autoZero"/>
        <c:auto val="1"/>
        <c:lblAlgn val="ctr"/>
        <c:lblOffset val="100"/>
        <c:noMultiLvlLbl val="0"/>
      </c:catAx>
      <c:valAx>
        <c:axId val="8871641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0643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23875"/>
          <c:w val="0.797"/>
          <c:h val="0.403"/>
        </c:manualLayout>
      </c:layout>
      <c:barChart>
        <c:barDir val="col"/>
        <c:grouping val="clustered"/>
        <c:varyColors val="0"/>
        <c:ser>
          <c:idx val="0"/>
          <c:order val="0"/>
          <c:tx>
            <c:strRef>
              <c:f>"上年数"</c:f>
              <c:strCache>
                <c:ptCount val="1"/>
                <c:pt idx="0">
                  <c:v>上年数</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"本年数"</c:f>
              <c:strCache>
                <c:ptCount val="1"/>
                <c:pt idx="0">
                  <c:v>本年数</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761472"/>
        <c:axId val="88763008"/>
      </c:barChart>
      <c:catAx>
        <c:axId val="887614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63008"/>
        <c:crosses val="autoZero"/>
        <c:auto val="1"/>
        <c:lblAlgn val="ctr"/>
        <c:lblOffset val="100"/>
        <c:noMultiLvlLbl val="0"/>
      </c:catAx>
      <c:valAx>
        <c:axId val="887630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6147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2925"/>
          <c:h val="0.46275"/>
        </c:manualLayout>
      </c:layout>
      <c:barChart>
        <c:barDir val="col"/>
        <c:grouping val="clustered"/>
        <c:varyColors val="0"/>
        <c:ser>
          <c:idx val="0"/>
          <c:order val="0"/>
          <c:tx>
            <c:strRef>
              <c:f>资产负债表分析!#REF!</c:f>
              <c:strCache>
                <c:ptCount val="1"/>
                <c:pt idx="0">
                  <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资产负债表分析!#REF!</c:f>
              <c:strCache>
                <c:ptCount val="1"/>
                <c:pt idx="0">
                  <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2"/>
          <c:order val="2"/>
          <c:tx>
            <c:strRef>
              <c:f>资产负债表分析!#REF!</c:f>
              <c:strCache>
                <c:ptCount val="1"/>
                <c:pt idx="0">
                  <c:v/>
                </c:pt>
              </c:strCache>
            </c:strRef>
          </c:tx>
          <c:spPr>
            <a:solidFill>
              <a:srgbClr val="FFFFCC"/>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3"/>
          <c:order val="3"/>
          <c:tx>
            <c:strRef>
              <c:f>资产负债表分析!#REF!</c:f>
              <c:strCache>
                <c:ptCount val="1"/>
                <c:pt idx="0">
                  <c:v/>
                </c:pt>
              </c:strCache>
            </c:strRef>
          </c:tx>
          <c:spPr>
            <a:solidFill>
              <a:srgbClr val="CCFF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797568"/>
        <c:axId val="88799104"/>
      </c:barChart>
      <c:catAx>
        <c:axId val="8879756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99104"/>
        <c:crosses val="autoZero"/>
        <c:auto val="1"/>
        <c:lblAlgn val="ctr"/>
        <c:lblOffset val="100"/>
        <c:noMultiLvlLbl val="0"/>
      </c:catAx>
      <c:valAx>
        <c:axId val="8879910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797568"/>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52"/>
          <c:y val="0.0895000000000001"/>
          <c:w val="0.9135"/>
          <c:h val="0.403"/>
        </c:manualLayout>
      </c:layout>
      <c:barChart>
        <c:barDir val="col"/>
        <c:grouping val="clustered"/>
        <c:varyColors val="0"/>
        <c:ser>
          <c:idx val="0"/>
          <c:order val="0"/>
          <c:tx>
            <c:strRef>
              <c:f>资产负债表分析!#REF!</c:f>
              <c:strCache>
                <c:ptCount val="1"/>
                <c:pt idx="0">
                  <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资产负债表分析!#REF!</c:f>
              <c:strCache>
                <c:ptCount val="1"/>
                <c:pt idx="0">
                  <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2"/>
          <c:order val="2"/>
          <c:tx>
            <c:strRef>
              <c:f>资产负债表分析!#REF!</c:f>
              <c:strCache>
                <c:ptCount val="1"/>
                <c:pt idx="0">
                  <c:v/>
                </c:pt>
              </c:strCache>
            </c:strRef>
          </c:tx>
          <c:spPr>
            <a:solidFill>
              <a:srgbClr val="FFFFCC"/>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3"/>
          <c:order val="3"/>
          <c:tx>
            <c:strRef>
              <c:f>资产负债表分析!#REF!</c:f>
              <c:strCache>
                <c:ptCount val="1"/>
                <c:pt idx="0">
                  <c:v/>
                </c:pt>
              </c:strCache>
            </c:strRef>
          </c:tx>
          <c:spPr>
            <a:solidFill>
              <a:srgbClr val="CCFF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862080"/>
        <c:axId val="88872064"/>
      </c:barChart>
      <c:catAx>
        <c:axId val="8886208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872064"/>
        <c:crosses val="autoZero"/>
        <c:auto val="1"/>
        <c:lblAlgn val="ctr"/>
        <c:lblOffset val="100"/>
        <c:noMultiLvlLbl val="0"/>
      </c:catAx>
      <c:valAx>
        <c:axId val="8887206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86208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3135"/>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896640"/>
        <c:axId val="88898176"/>
      </c:barChart>
      <c:catAx>
        <c:axId val="8889664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898176"/>
        <c:crosses val="autoZero"/>
        <c:auto val="1"/>
        <c:lblAlgn val="ctr"/>
        <c:lblOffset val="100"/>
        <c:noMultiLvlLbl val="0"/>
      </c:catAx>
      <c:valAx>
        <c:axId val="888981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89664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05"/>
          <c:y val="0.0895000000000001"/>
          <c:w val="0.958"/>
          <c:h val="0.224"/>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930944"/>
        <c:axId val="88945024"/>
      </c:barChart>
      <c:catAx>
        <c:axId val="8893094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45024"/>
        <c:crosses val="autoZero"/>
        <c:auto val="1"/>
        <c:lblAlgn val="ctr"/>
        <c:lblOffset val="100"/>
        <c:noMultiLvlLbl val="0"/>
      </c:catAx>
      <c:valAx>
        <c:axId val="889450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3094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85"/>
          <c:y val="0.0895000000000001"/>
          <c:w val="0.949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965504"/>
        <c:axId val="88967040"/>
      </c:barChart>
      <c:catAx>
        <c:axId val="8896550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67040"/>
        <c:crosses val="autoZero"/>
        <c:auto val="1"/>
        <c:lblAlgn val="ctr"/>
        <c:lblOffset val="100"/>
        <c:noMultiLvlLbl val="0"/>
      </c:catAx>
      <c:valAx>
        <c:axId val="889670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65504"/>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6"/>
          <c:y val="0.0895000000000001"/>
          <c:w val="0.9525"/>
          <c:h val="0.179"/>
        </c:manualLayout>
      </c:layout>
      <c:barChart>
        <c:barDir val="col"/>
        <c:grouping val="clustered"/>
        <c:varyColors val="0"/>
        <c:ser>
          <c:idx val="0"/>
          <c:order val="0"/>
          <c:tx>
            <c:strRef>
              <c:f>"上年比重"</c:f>
              <c:strCache>
                <c:ptCount val="1"/>
                <c:pt idx="0">
                  <c:v>上年比重</c:v>
                </c:pt>
              </c:strCache>
            </c:strRef>
          </c:tx>
          <c:spPr>
            <a:solidFill>
              <a:srgbClr val="9999FF"/>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ser>
          <c:idx val="1"/>
          <c:order val="1"/>
          <c:tx>
            <c:strRef>
              <c:f>"本年比重"</c:f>
              <c:strCache>
                <c:ptCount val="1"/>
                <c:pt idx="0">
                  <c:v>本年比重</c:v>
                </c:pt>
              </c:strCache>
            </c:strRef>
          </c:tx>
          <c:spPr>
            <a:solidFill>
              <a:srgbClr val="993366"/>
            </a:solidFill>
            <a:ln w="12700">
              <a:solidFill>
                <a:srgbClr val="000000"/>
              </a:solidFill>
            </a:ln>
            <a:effectLst/>
          </c:spPr>
          <c:invertIfNegative val="0"/>
          <c:dLbls>
            <c:delete val="1"/>
          </c:dLbls>
          <c:cat>
            <c:numRef>
              <c:f>资产负债表分析!#REF!</c:f>
              <c:numCache>
                <c:ptCount val="0"/>
              </c:numCache>
            </c:numRef>
          </c:cat>
          <c:val>
            <c:numRef>
              <c:f>资产负债表分析!#REF!</c:f>
              <c:numCache>
                <c:formatCode>General</c:formatCode>
                <c:ptCount val="1"/>
                <c:pt idx="0">
                  <c:v>1</c:v>
                </c:pt>
              </c:numCache>
            </c:numRef>
          </c:val>
        </c:ser>
        <c:dLbls>
          <c:showLegendKey val="0"/>
          <c:showVal val="0"/>
          <c:showCatName val="0"/>
          <c:showSerName val="0"/>
          <c:showPercent val="0"/>
          <c:showBubbleSize val="0"/>
        </c:dLbls>
        <c:gapWidth val="150"/>
        <c:axId val="88995712"/>
        <c:axId val="88997248"/>
      </c:barChart>
      <c:catAx>
        <c:axId val="889957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97248"/>
        <c:crosses val="autoZero"/>
        <c:auto val="1"/>
        <c:lblAlgn val="ctr"/>
        <c:lblOffset val="100"/>
        <c:noMultiLvlLbl val="0"/>
      </c:catAx>
      <c:valAx>
        <c:axId val="889972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899571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10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5"/>
          <c:y val="0.06"/>
          <c:w val="0.8495"/>
          <c:h val="0.58075"/>
        </c:manualLayout>
      </c:layout>
      <c:barChart>
        <c:barDir val="col"/>
        <c:grouping val="clustered"/>
        <c:varyColors val="0"/>
        <c:ser>
          <c:idx val="0"/>
          <c:order val="0"/>
          <c:tx>
            <c:strRef>
              <c:f>[2]B产品成本分析表!$B$14</c:f>
              <c:strCache>
                <c:ptCount val="1"/>
                <c:pt idx="0">
                  <c:v>直接材料比重</c:v>
                </c:pt>
              </c:strCache>
            </c:strRef>
          </c:tx>
          <c:spPr>
            <a:solidFill>
              <a:srgbClr val="9999FF"/>
            </a:solidFill>
            <a:ln w="12700">
              <a:solidFill>
                <a:srgbClr val="000000"/>
              </a:solidFill>
            </a:ln>
            <a:effectLst/>
          </c:spPr>
          <c:invertIfNegative val="0"/>
          <c:dLbls>
            <c:delete val="1"/>
          </c:dLbls>
          <c:val>
            <c:numRef>
              <c:f>[2]B产品成本分析表!$C$14:$N$14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[2]B产品成本分析表!$B$15</c:f>
              <c:strCache>
                <c:ptCount val="1"/>
                <c:pt idx="0">
                  <c:v>直接人工比重</c:v>
                </c:pt>
              </c:strCache>
            </c:strRef>
          </c:tx>
          <c:spPr>
            <a:solidFill>
              <a:srgbClr val="993366"/>
            </a:solidFill>
            <a:ln w="12700">
              <a:solidFill>
                <a:srgbClr val="000000"/>
              </a:solidFill>
            </a:ln>
            <a:effectLst/>
          </c:spPr>
          <c:invertIfNegative val="0"/>
          <c:dLbls>
            <c:delete val="1"/>
          </c:dLbls>
          <c:val>
            <c:numRef>
              <c:f>[2]B产品成本分析表!$C$15:$N$15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[2]B产品成本分析表!$B$16</c:f>
              <c:strCache>
                <c:ptCount val="1"/>
                <c:pt idx="0">
                  <c:v>制造费用比重</c:v>
                </c:pt>
              </c:strCache>
            </c:strRef>
          </c:tx>
          <c:spPr>
            <a:solidFill>
              <a:srgbClr val="FFFFCC"/>
            </a:solidFill>
            <a:ln w="12700">
              <a:solidFill>
                <a:srgbClr val="000000"/>
              </a:solidFill>
            </a:ln>
            <a:effectLst/>
          </c:spPr>
          <c:invertIfNegative val="0"/>
          <c:dLbls>
            <c:delete val="1"/>
          </c:dLbls>
          <c:val>
            <c:numRef>
              <c:f>[2]B产品成本分析表!$C$16:$N$16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[2]B产品成本分析表!$B$17</c:f>
              <c:strCache>
                <c:ptCount val="1"/>
                <c:pt idx="0">
                  <c:v>其他比重</c:v>
                </c:pt>
              </c:strCache>
            </c:strRef>
          </c:tx>
          <c:spPr>
            <a:solidFill>
              <a:srgbClr val="CCFFFF"/>
            </a:solidFill>
            <a:ln w="12700">
              <a:solidFill>
                <a:srgbClr val="000000"/>
              </a:solidFill>
            </a:ln>
            <a:effectLst/>
          </c:spPr>
          <c:invertIfNegative val="0"/>
          <c:dLbls>
            <c:delete val="1"/>
          </c:dLbls>
          <c:val>
            <c:numRef>
              <c:f>[2]B产品成本分析表!$C$17:$N$17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axId val="89068672"/>
        <c:axId val="89070208"/>
      </c:barChart>
      <c:catAx>
        <c:axId val="890686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070208"/>
        <c:crosses val="autoZero"/>
        <c:auto val="1"/>
        <c:lblAlgn val="ctr"/>
        <c:lblOffset val="100"/>
        <c:noMultiLvlLbl val="0"/>
      </c:catAx>
      <c:valAx>
        <c:axId val="8907020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06867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manualLayout>
          <c:xMode val="edge"/>
          <c:yMode val="edge"/>
          <c:x val="0.13925"/>
          <c:y val="0.81525"/>
          <c:w val="0.45510496104407"/>
          <c:h val="0.173258003766478"/>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17500000000001"/>
          <c:y val="0.09025"/>
          <c:w val="0.904"/>
          <c:h val="0.6205"/>
        </c:manualLayout>
      </c:layout>
      <c:lineChart>
        <c:grouping val="standard"/>
        <c:varyColors val="0"/>
        <c:ser>
          <c:idx val="0"/>
          <c:order val="0"/>
          <c:tx>
            <c:strRef>
              <c:f>[2]B产品成本分析表!$B$11</c:f>
              <c:strCache>
                <c:ptCount val="1"/>
                <c:pt idx="0">
                  <c:v>转出数量</c:v>
                </c:pt>
              </c:strCache>
            </c:strRef>
          </c:tx>
          <c:spPr>
            <a:ln w="12700" cap="rnd" cmpd="sng" algn="ctr">
              <a:solidFill>
                <a:srgbClr val="000080"/>
              </a:solidFill>
              <a:prstDash val="solid"/>
              <a:round/>
            </a:ln>
            <a:effectLst/>
          </c:spPr>
          <c:marker>
            <c:symbol val="none"/>
          </c:marker>
          <c:dLbls>
            <c:delete val="1"/>
          </c:dLbls>
          <c:val>
            <c:numRef>
              <c:f>[2]B产品成本分析表!$C$11:$N$11</c:f>
              <c:numCache>
                <c:formatCode>General</c:formatCode>
                <c:ptCount val="12"/>
              </c:numCache>
            </c:numRef>
          </c:val>
          <c:smooth val="0"/>
        </c:ser>
        <c:ser>
          <c:idx val="1"/>
          <c:order val="1"/>
          <c:tx>
            <c:strRef>
              <c:f>[2]B产品成本分析表!$B$12</c:f>
              <c:strCache>
                <c:ptCount val="1"/>
                <c:pt idx="0">
                  <c:v>单位成本</c:v>
                </c:pt>
              </c:strCache>
            </c:strRef>
          </c:tx>
          <c:spPr>
            <a:ln w="12700" cap="rnd" cmpd="sng" algn="ctr">
              <a:solidFill>
                <a:srgbClr val="FF00FF"/>
              </a:solidFill>
              <a:prstDash val="solid"/>
              <a:round/>
            </a:ln>
            <a:effectLst/>
          </c:spPr>
          <c:marker>
            <c:symbol val="none"/>
          </c:marker>
          <c:dLbls>
            <c:delete val="1"/>
          </c:dLbls>
          <c:val>
            <c:numRef>
              <c:f>[2]B产品成本分析表!$C$12:$N$12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9094784"/>
        <c:axId val="89096576"/>
      </c:lineChart>
      <c:catAx>
        <c:axId val="890947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096576"/>
        <c:crosses val="autoZero"/>
        <c:auto val="1"/>
        <c:lblAlgn val="ctr"/>
        <c:lblOffset val="100"/>
        <c:noMultiLvlLbl val="0"/>
      </c:catAx>
      <c:valAx>
        <c:axId val="8909657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8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094784"/>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manualLayout>
          <c:xMode val="edge"/>
          <c:yMode val="edge"/>
          <c:x val="0.2905"/>
          <c:y val="0.86775"/>
          <c:w val="0.49075"/>
          <c:h val="0.1135"/>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8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900" b="0" i="0" u="none" strike="noStrike" kern="1200" baseline="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900" b="0" i="0" u="none" strike="noStrike">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3175">
          <a:noFill/>
        </a:ln>
        <a:effectLst/>
      </c:spPr>
    </c:title>
    <c:autoTitleDeleted val="0"/>
    <c:plotArea>
      <c:layout>
        <c:manualLayout>
          <c:layoutTarget val="inner"/>
          <c:xMode val="edge"/>
          <c:yMode val="edge"/>
          <c:x val="0.22325"/>
          <c:y val="0.1085"/>
          <c:w val="0.71425"/>
          <c:h val="0.753750000000001"/>
        </c:manualLayout>
      </c:layout>
      <c:lineChart>
        <c:grouping val="standard"/>
        <c:varyColors val="0"/>
        <c:ser>
          <c:idx val="0"/>
          <c:order val="0"/>
          <c:tx>
            <c:strRef>
              <c:f>收支分析!$G$3</c:f>
              <c:strCache>
                <c:ptCount val="1"/>
                <c:pt idx="0">
                  <c:v>销售费用率</c:v>
                </c:pt>
              </c:strCache>
            </c:strRef>
          </c:tx>
          <c:spPr>
            <a:ln w="12700" cap="rnd" cmpd="sng" algn="ctr">
              <a:solidFill>
                <a:srgbClr val="000080"/>
              </a:solidFill>
              <a:prstDash val="solid"/>
              <a:round/>
            </a:ln>
            <a:effectLst/>
          </c:spPr>
          <c:marker>
            <c:symbol val="none"/>
          </c:marker>
          <c:dLbls>
            <c:delete val="1"/>
          </c:dLbls>
          <c:val>
            <c:numRef>
              <c:f>收支分析!$G$4:$G$15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0"/>
        <c:smooth val="0"/>
        <c:axId val="82578432"/>
        <c:axId val="82592512"/>
      </c:lineChart>
      <c:catAx>
        <c:axId val="82578432"/>
        <c:scaling>
          <c:orientation val="minMax"/>
        </c:scaling>
        <c:delete val="0"/>
        <c:axPos val="b"/>
        <c:numFmt formatCode="General"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1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92512"/>
        <c:crosses val="autoZero"/>
        <c:auto val="1"/>
        <c:lblAlgn val="ctr"/>
        <c:lblOffset val="100"/>
        <c:noMultiLvlLbl val="0"/>
      </c:catAx>
      <c:valAx>
        <c:axId val="82592512"/>
        <c:scaling>
          <c:orientation val="minMax"/>
        </c:scaling>
        <c:delete val="0"/>
        <c:axPos val="l"/>
        <c:majorGridlines>
          <c:spPr>
            <a:ln w="3175" cap="flat" cmpd="sng" algn="ctr">
              <a:solidFill>
                <a:srgbClr val="000000">
                  <a:alpha val="100000"/>
                </a:srgbClr>
              </a:solidFill>
              <a:prstDash val="solid"/>
              <a:round/>
            </a:ln>
            <a:effectLst/>
          </c:spPr>
        </c:majorGridlines>
        <c:numFmt formatCode="0.00%" sourceLinked="1"/>
        <c:majorTickMark val="in"/>
        <c:minorTickMark val="none"/>
        <c:tickLblPos val="nextTo"/>
        <c:spPr>
          <a:noFill/>
          <a:ln w="3175" cap="flat" cmpd="sng" algn="ctr">
            <a:solidFill>
              <a:srgbClr val="000000">
                <a:alpha val="100000"/>
              </a:srgbClr>
            </a:solidFill>
            <a:prstDash val="solid"/>
            <a:round/>
          </a:ln>
          <a:effectLst/>
        </c:spPr>
        <c:txPr>
          <a:bodyPr rot="-60000000" spcFirstLastPara="0" vertOverflow="ellipsis" horzOverflow="overflow" vert="horz" wrap="square" anchor="ctr" anchorCtr="1"/>
          <a:lstStyle/>
          <a:p>
            <a:pPr>
              <a:defRPr lang="zh-CN" sz="1125"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crossAx val="82578432"/>
        <c:crosses val="autoZero"/>
        <c:crossBetween val="between"/>
      </c:valAx>
      <c:spPr>
        <a:noFill/>
        <a:ln w="3175">
          <a:noFill/>
        </a:ln>
        <a:effectLst/>
      </c:spPr>
    </c:plotArea>
    <c:legend>
      <c:legendPos val="r"/>
      <c:layout>
        <c:manualLayout>
          <c:xMode val="edge"/>
          <c:yMode val="edge"/>
          <c:x val="0.69275"/>
          <c:y val="0"/>
          <c:w val="0.24475"/>
          <c:h val="0.113"/>
        </c:manualLayout>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chemeClr val="tx1"/>
              </a:solidFill>
              <a:latin typeface="Times New Roman" panose="02020603050405020304" charset="-122"/>
              <a:ea typeface="Times New Roman" panose="02020603050405020304" charset="-122"/>
              <a:cs typeface="Times New Roman" panose="02020603050405020304" charset="-122"/>
            </a:defRPr>
          </a:pPr>
        </a:p>
      </c:txPr>
    </c:legend>
    <c:plotVisOnly val="1"/>
    <c:dispBlanksAs val="gap"/>
    <c:showDLblsOverMax val="0"/>
  </c:chart>
  <c:spPr>
    <a:solidFill>
      <a:srgbClr val="FFFFFF"/>
    </a:solidFill>
    <a:ln w="3175" cap="flat" cmpd="sng" algn="ctr">
      <a:noFill/>
      <a:prstDash val="solid"/>
      <a:round/>
    </a:ln>
    <a:effectLst/>
  </c:spPr>
  <c:txPr>
    <a:bodyPr rot="0" spcFirstLastPara="0" vertOverflow="ellipsis" horzOverflow="overflow" vert="horz" wrap="square" anchor="ctr" anchorCtr="1"/>
    <a:lstStyle/>
    <a:p>
      <a:pPr>
        <a:defRPr lang="zh-CN" sz="900" b="0" i="0" u="none" strike="noStrike">
          <a:latin typeface="Times New Roman" panose="02020603050405020304" charset="-122"/>
          <a:ea typeface="Times New Roman" panose="02020603050405020304" charset="-122"/>
          <a:cs typeface="Times New Roman" panose="02020603050405020304" charset="-122"/>
        </a:defRPr>
      </a:pPr>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8125"/>
          <c:y val="0.06825"/>
          <c:w val="0.89975"/>
          <c:h val="0.59"/>
        </c:manualLayout>
      </c:layout>
      <c:lineChart>
        <c:grouping val="standard"/>
        <c:varyColors val="0"/>
        <c:ser>
          <c:idx val="0"/>
          <c:order val="0"/>
          <c:tx>
            <c:strRef>
              <c:f>[2]B产品成本分析表!$B$5</c:f>
              <c:strCache>
                <c:ptCount val="1"/>
                <c:pt idx="0">
                  <c:v>直接材料</c:v>
                </c:pt>
              </c:strCache>
            </c:strRef>
          </c:tx>
          <c:spPr>
            <a:ln w="12700" cap="rnd" cmpd="sng" algn="ctr">
              <a:solidFill>
                <a:srgbClr val="000080"/>
              </a:solidFill>
              <a:prstDash val="solid"/>
              <a:round/>
            </a:ln>
            <a:effectLst/>
          </c:spPr>
          <c:marker>
            <c:symbol val="none"/>
          </c:marker>
          <c:dLbls>
            <c:delete val="1"/>
          </c:dLbls>
          <c:val>
            <c:numRef>
              <c:f>[2]B产品成本分析表!$C$5:$N$5</c:f>
              <c:numCache>
                <c:formatCode>General</c:formatCode>
                <c:ptCount val="12"/>
              </c:numCache>
            </c:numRef>
          </c:val>
          <c:smooth val="0"/>
        </c:ser>
        <c:ser>
          <c:idx val="1"/>
          <c:order val="1"/>
          <c:tx>
            <c:strRef>
              <c:f>[2]B产品成本分析表!$B$6</c:f>
              <c:strCache>
                <c:ptCount val="1"/>
                <c:pt idx="0">
                  <c:v>直接人工</c:v>
                </c:pt>
              </c:strCache>
            </c:strRef>
          </c:tx>
          <c:spPr>
            <a:ln w="12700" cap="rnd" cmpd="sng" algn="ctr">
              <a:solidFill>
                <a:srgbClr val="FF00FF"/>
              </a:solidFill>
              <a:prstDash val="solid"/>
              <a:round/>
            </a:ln>
            <a:effectLst/>
          </c:spPr>
          <c:marker>
            <c:symbol val="none"/>
          </c:marker>
          <c:dLbls>
            <c:delete val="1"/>
          </c:dLbls>
          <c:val>
            <c:numRef>
              <c:f>[2]B产品成本分析表!$C$6:$N$6</c:f>
              <c:numCache>
                <c:formatCode>General</c:formatCode>
                <c:ptCount val="12"/>
              </c:numCache>
            </c:numRef>
          </c:val>
          <c:smooth val="0"/>
        </c:ser>
        <c:ser>
          <c:idx val="2"/>
          <c:order val="2"/>
          <c:tx>
            <c:strRef>
              <c:f>[2]B产品成本分析表!$B$7</c:f>
              <c:strCache>
                <c:ptCount val="1"/>
                <c:pt idx="0">
                  <c:v>制造费用</c:v>
                </c:pt>
              </c:strCache>
            </c:strRef>
          </c:tx>
          <c:spPr>
            <a:ln w="12700" cap="rnd" cmpd="sng" algn="ctr">
              <a:solidFill>
                <a:srgbClr val="FFFF00"/>
              </a:solidFill>
              <a:prstDash val="solid"/>
              <a:round/>
            </a:ln>
            <a:effectLst/>
          </c:spPr>
          <c:marker>
            <c:symbol val="none"/>
          </c:marker>
          <c:dLbls>
            <c:delete val="1"/>
          </c:dLbls>
          <c:val>
            <c:numRef>
              <c:f>[2]B产品成本分析表!$C$7:$N$7</c:f>
              <c:numCache>
                <c:formatCode>General</c:formatCode>
                <c:ptCount val="12"/>
              </c:numCache>
            </c:numRef>
          </c:val>
          <c:smooth val="0"/>
        </c:ser>
        <c:ser>
          <c:idx val="3"/>
          <c:order val="3"/>
          <c:tx>
            <c:strRef>
              <c:f>[2]B产品成本分析表!$B$8</c:f>
              <c:strCache>
                <c:ptCount val="1"/>
                <c:pt idx="0">
                  <c:v>其他</c:v>
                </c:pt>
              </c:strCache>
            </c:strRef>
          </c:tx>
          <c:spPr>
            <a:ln w="12700" cap="rnd" cmpd="sng" algn="ctr">
              <a:solidFill>
                <a:srgbClr val="00FFFF"/>
              </a:solidFill>
              <a:prstDash val="solid"/>
              <a:round/>
            </a:ln>
            <a:effectLst/>
          </c:spPr>
          <c:marker>
            <c:symbol val="none"/>
          </c:marker>
          <c:dLbls>
            <c:delete val="1"/>
          </c:dLbls>
          <c:val>
            <c:numRef>
              <c:f>[2]B产品成本分析表!$C$8:$N$8</c:f>
              <c:numCache>
                <c:formatCode>General</c:formatCode>
                <c:ptCount val="12"/>
              </c:numCache>
            </c:numRef>
          </c:val>
          <c:smooth val="0"/>
        </c:ser>
        <c:ser>
          <c:idx val="4"/>
          <c:order val="4"/>
          <c:tx>
            <c:strRef>
              <c:f>[2]B产品成本分析表!$B$11</c:f>
              <c:strCache>
                <c:ptCount val="1"/>
                <c:pt idx="0">
                  <c:v>转出数量</c:v>
                </c:pt>
              </c:strCache>
            </c:strRef>
          </c:tx>
          <c:spPr>
            <a:ln w="12700" cap="rnd" cmpd="sng" algn="ctr">
              <a:solidFill>
                <a:srgbClr val="800080"/>
              </a:solidFill>
              <a:prstDash val="solid"/>
              <a:round/>
            </a:ln>
            <a:effectLst/>
          </c:spPr>
          <c:marker>
            <c:symbol val="none"/>
          </c:marker>
          <c:dLbls>
            <c:delete val="1"/>
          </c:dLbls>
          <c:val>
            <c:numRef>
              <c:f>[2]B产品成本分析表!$C$11:$N$11</c:f>
              <c:numCache>
                <c:formatCode>General</c:formatCode>
                <c:ptCount val="12"/>
              </c:numCache>
            </c:numRef>
          </c:val>
          <c:smooth val="0"/>
        </c:ser>
        <c:dLbls>
          <c:showLegendKey val="0"/>
          <c:showVal val="0"/>
          <c:showCatName val="0"/>
          <c:showSerName val="0"/>
          <c:showPercent val="0"/>
          <c:showBubbleSize val="0"/>
        </c:dLbls>
        <c:marker val="0"/>
        <c:smooth val="0"/>
        <c:axId val="89209472"/>
        <c:axId val="89235840"/>
      </c:lineChart>
      <c:catAx>
        <c:axId val="8920947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235840"/>
        <c:crosses val="autoZero"/>
        <c:auto val="1"/>
        <c:lblAlgn val="ctr"/>
        <c:lblOffset val="100"/>
        <c:noMultiLvlLbl val="0"/>
      </c:catAx>
      <c:valAx>
        <c:axId val="8923584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209472"/>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9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销售收入、成本对比表</a:t>
            </a:r>
          </a:p>
          <a:p>
            <a:pPr algn="ctr" defTabSz="914400">
              <a:defRPr lang="zh-CN" sz="27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endParaRPr sz="27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overlay val="0"/>
      <c:spPr>
        <a:noFill/>
        <a:ln w="9525">
          <a:noFill/>
        </a:ln>
        <a:effectLst/>
      </c:spPr>
    </c:title>
    <c:autoTitleDeleted val="0"/>
    <c:plotArea>
      <c:layout>
        <c:manualLayout>
          <c:layoutTarget val="inner"/>
          <c:xMode val="edge"/>
          <c:yMode val="edge"/>
          <c:x val="0.0265"/>
          <c:y val="0.37325"/>
          <c:w val="0.7655"/>
          <c:h val="0.209"/>
        </c:manualLayout>
      </c:layout>
      <c:lineChart>
        <c:grouping val="standard"/>
        <c:varyColors val="0"/>
        <c:ser>
          <c:idx val="0"/>
          <c:order val="0"/>
          <c:tx>
            <c:strRef>
              <c:f>表外数据录入!#REF!</c:f>
              <c:strCache>
                <c:ptCount val="1"/>
                <c:pt idx="0">
                  <c:v/>
                </c:pt>
              </c:strCache>
            </c:strRef>
          </c:tx>
          <c:spPr>
            <a:ln w="12700" cap="rnd" cmpd="sng" algn="ctr">
              <a:solidFill>
                <a:srgbClr val="000080">
                  <a:alpha val="100000"/>
                </a:srgbClr>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1"/>
          <c:order val="1"/>
          <c:tx>
            <c:strRef>
              <c:f>表外数据录入!#REF!</c:f>
              <c:strCache>
                <c:ptCount val="1"/>
                <c:pt idx="0">
                  <c:v/>
                </c:pt>
              </c:strCache>
            </c:strRef>
          </c:tx>
          <c:spPr>
            <a:ln w="12700" cap="rnd" cmpd="sng" algn="ctr">
              <a:solidFill>
                <a:srgbClr val="FF00FF"/>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273088"/>
        <c:axId val="89274624"/>
      </c:lineChart>
      <c:catAx>
        <c:axId val="89273088"/>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274624"/>
        <c:crosses val="autoZero"/>
        <c:auto val="1"/>
        <c:lblAlgn val="ctr"/>
        <c:lblOffset val="100"/>
        <c:noMultiLvlLbl val="0"/>
      </c:catAx>
      <c:valAx>
        <c:axId val="8927462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273088"/>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2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销售成本率变化情况</a:t>
            </a:r>
            <a:endParaRPr sz="2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375"/>
          <c:y val="0.01625"/>
        </c:manualLayout>
      </c:layout>
      <c:overlay val="0"/>
      <c:spPr>
        <a:noFill/>
        <a:ln w="9525">
          <a:noFill/>
        </a:ln>
        <a:effectLst/>
      </c:spPr>
    </c:title>
    <c:autoTitleDeleted val="0"/>
    <c:plotArea>
      <c:layout>
        <c:manualLayout>
          <c:layoutTarget val="inner"/>
          <c:xMode val="edge"/>
          <c:yMode val="edge"/>
          <c:x val="0.094"/>
          <c:y val="0.37325"/>
          <c:w val="0.80925"/>
          <c:h val="0.2537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323392"/>
        <c:axId val="89324928"/>
      </c:lineChart>
      <c:catAx>
        <c:axId val="893233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324928"/>
        <c:crosses val="autoZero"/>
        <c:auto val="1"/>
        <c:lblAlgn val="ctr"/>
        <c:lblOffset val="100"/>
        <c:noMultiLvlLbl val="0"/>
      </c:catAx>
      <c:valAx>
        <c:axId val="893249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323392"/>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2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88"/>
          <c:w val="0.79"/>
          <c:h val="0.3582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1"/>
          <c:order val="1"/>
          <c:tx>
            <c:strRef>
              <c:f>表外数据录入!#REF!</c:f>
              <c:strCache>
                <c:ptCount val="1"/>
                <c:pt idx="0">
                  <c:v/>
                </c:pt>
              </c:strCache>
            </c:strRef>
          </c:tx>
          <c:spPr>
            <a:ln w="12700" cap="rnd" cmpd="sng" algn="ctr">
              <a:solidFill>
                <a:srgbClr val="FF00FF"/>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411584"/>
        <c:axId val="89413120"/>
      </c:lineChart>
      <c:catAx>
        <c:axId val="89411584"/>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413120"/>
        <c:crosses val="autoZero"/>
        <c:auto val="1"/>
        <c:lblAlgn val="ctr"/>
        <c:lblOffset val="100"/>
        <c:noMultiLvlLbl val="0"/>
      </c:catAx>
      <c:valAx>
        <c:axId val="89413120"/>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411584"/>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销售费用率变化情况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725"/>
          <c:y val="0.26875"/>
          <c:w val="0.8445"/>
          <c:h val="0.4627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531520"/>
        <c:axId val="89533056"/>
      </c:lineChart>
      <c:catAx>
        <c:axId val="8953152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33056"/>
        <c:crosses val="autoZero"/>
        <c:auto val="1"/>
        <c:lblAlgn val="ctr"/>
        <c:lblOffset val="100"/>
        <c:noMultiLvlLbl val="0"/>
      </c:catAx>
      <c:valAx>
        <c:axId val="8953305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31520"/>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r>
              <a:t>销售收入、费用对比表</a:t>
            </a:r>
            <a:endParaRPr sz="325" b="0" i="0" u="none" strike="noStrike" baseline="0">
              <a:solidFill>
                <a:srgbClr val="000000"/>
              </a:solidFill>
              <a:effectLst/>
              <a:latin typeface="Times New Roman" panose="02020603050405020304" pitchFamily="1" charset="0"/>
              <a:ea typeface="Times New Roman" panose="02020603050405020304" pitchFamily="1" charset="0"/>
              <a:cs typeface="Times New Roman" panose="02020603050405020304" pitchFamily="1" charset="0"/>
            </a:endParaRPr>
          </a:p>
        </c:rich>
      </c:tx>
      <c:layout>
        <c:manualLayout>
          <c:x val="-0.011"/>
          <c:y val="0.027"/>
        </c:manualLayout>
      </c:layout>
      <c:overlay val="0"/>
      <c:spPr>
        <a:noFill/>
        <a:ln w="9525">
          <a:noFill/>
        </a:ln>
        <a:effectLst/>
      </c:spPr>
    </c:title>
    <c:autoTitleDeleted val="0"/>
    <c:plotArea>
      <c:layout>
        <c:manualLayout>
          <c:layoutTarget val="inner"/>
          <c:xMode val="edge"/>
          <c:yMode val="edge"/>
          <c:x val="0.0495"/>
          <c:y val="0.35825"/>
          <c:w val="0.79"/>
          <c:h val="0.388"/>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1"/>
          <c:order val="1"/>
          <c:tx>
            <c:strRef>
              <c:f>表外数据录入!#REF!</c:f>
              <c:strCache>
                <c:ptCount val="1"/>
                <c:pt idx="0">
                  <c:v/>
                </c:pt>
              </c:strCache>
            </c:strRef>
          </c:tx>
          <c:spPr>
            <a:ln w="12700" cap="rnd" cmpd="sng" algn="ctr">
              <a:solidFill>
                <a:srgbClr val="FF00FF"/>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558016"/>
        <c:axId val="89584384"/>
      </c:lineChart>
      <c:catAx>
        <c:axId val="89558016"/>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84384"/>
        <c:crosses val="autoZero"/>
        <c:auto val="1"/>
        <c:lblAlgn val="ctr"/>
        <c:lblOffset val="100"/>
        <c:noMultiLvlLbl val="0"/>
      </c:catAx>
      <c:valAx>
        <c:axId val="89584384"/>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58016"/>
        <c:crosses val="autoZero"/>
        <c:crossBetween val="between"/>
      </c:valAx>
      <c:spPr>
        <a:solidFill>
          <a:srgbClr val="FFFFFF"/>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lgn="ctr" defTabSz="914400">
              <a:defRPr lang="zh-CN" sz="325" b="0" i="0" u="none" strike="noStrike" kern="1200" baseline="0">
                <a:solidFill>
                  <a:srgbClr val="000000"/>
                </a:solidFill>
                <a:latin typeface="宋体" panose="02010600030101010101" pitchFamily="7" charset="-122"/>
                <a:ea typeface="宋体" panose="02010600030101010101" pitchFamily="7" charset="-122"/>
                <a:cs typeface="宋体" panose="02010600030101010101" pitchFamily="7" charset="-122"/>
              </a:defRPr>
            </a:pPr>
            <a:r>
              <a:t>销售税金率变化情况</a:t>
            </a:r>
            <a:endParaRPr sz="325" b="0" i="0" u="none" strike="noStrike" baseline="0">
              <a:solidFill>
                <a:srgbClr val="000000"/>
              </a:solidFill>
              <a:effectLst/>
              <a:latin typeface="宋体" panose="02010600030101010101" pitchFamily="7" charset="-122"/>
              <a:ea typeface="宋体" panose="02010600030101010101" pitchFamily="7" charset="-122"/>
              <a:cs typeface="宋体" panose="02010600030101010101" pitchFamily="7" charset="-122"/>
            </a:endParaRPr>
          </a:p>
        </c:rich>
      </c:tx>
      <c:layout>
        <c:manualLayout>
          <c:x val="-0.01275"/>
          <c:y val="-0.016"/>
        </c:manualLayout>
      </c:layout>
      <c:overlay val="0"/>
      <c:spPr>
        <a:noFill/>
        <a:ln w="9525">
          <a:noFill/>
        </a:ln>
        <a:effectLst/>
      </c:spPr>
    </c:title>
    <c:autoTitleDeleted val="0"/>
    <c:plotArea>
      <c:layout>
        <c:manualLayout>
          <c:layoutTarget val="inner"/>
          <c:xMode val="edge"/>
          <c:yMode val="edge"/>
          <c:x val="0.1045"/>
          <c:y val="0.25375"/>
          <c:w val="0.84725"/>
          <c:h val="0.492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489792"/>
        <c:axId val="89491328"/>
      </c:lineChart>
      <c:catAx>
        <c:axId val="8948979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491328"/>
        <c:crosses val="autoZero"/>
        <c:auto val="1"/>
        <c:lblAlgn val="ctr"/>
        <c:lblOffset val="100"/>
        <c:noMultiLvlLbl val="0"/>
      </c:catAx>
      <c:valAx>
        <c:axId val="8949132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489792"/>
        <c:crosses val="autoZero"/>
        <c:crossBetween val="between"/>
      </c:valAx>
      <c:spPr>
        <a:solidFill>
          <a:srgbClr val="FFFFFF"/>
        </a:solidFill>
        <a:ln w="12700">
          <a:solidFill>
            <a:srgbClr val="00000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2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2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75"/>
          <c:y val="0.35825"/>
          <c:w val="0.7765"/>
          <c:h val="0.23875"/>
        </c:manualLayout>
      </c:layout>
      <c:lineChart>
        <c:grouping val="standard"/>
        <c:varyColors val="0"/>
        <c:ser>
          <c:idx val="0"/>
          <c:order val="0"/>
          <c:tx>
            <c:strRef>
              <c:f>"生产成本"</c:f>
              <c:strCache>
                <c:ptCount val="1"/>
                <c:pt idx="0">
                  <c:v>生产成本</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523712"/>
        <c:axId val="89525248"/>
      </c:lineChart>
      <c:catAx>
        <c:axId val="89523712"/>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25248"/>
        <c:crosses val="autoZero"/>
        <c:auto val="1"/>
        <c:lblAlgn val="ctr"/>
        <c:lblOffset val="100"/>
        <c:noMultiLvlLbl val="0"/>
      </c:catAx>
      <c:valAx>
        <c:axId val="89525248"/>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523712"/>
        <c:crosses val="autoZero"/>
        <c:crossBetween val="between"/>
      </c:valAx>
      <c:spPr>
        <a:solidFill>
          <a:srgbClr val="C0C0C0">
            <a:alpha val="100000"/>
          </a:srgbClr>
        </a:solidFill>
        <a:ln w="12700">
          <a:solidFill>
            <a:srgbClr val="808080">
              <a:alpha val="100000"/>
            </a:srgbClr>
          </a:solidFill>
          <a:prstDash val="solid"/>
        </a:ln>
        <a:effectLst/>
      </c:spPr>
    </c:plotArea>
    <c:legend>
      <c:legendPos val="r"/>
      <c:layout/>
      <c:overlay val="0"/>
      <c:spPr>
        <a:solidFill>
          <a:srgbClr val="FFFFFF"/>
        </a:solidFill>
        <a:ln>
          <a:solidFill>
            <a:srgbClr val="000000"/>
          </a:solidFill>
        </a:ln>
        <a:effectLst/>
      </c:spPr>
      <c:txPr>
        <a:bodyPr rot="0" spcFirstLastPara="0" vertOverflow="ellipsis" horzOverflow="overflow" vert="horz" wrap="square" anchor="ctr" anchorCtr="1"/>
        <a:lstStyle/>
        <a:p>
          <a:pPr>
            <a:defRPr lang="zh-CN" sz="35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5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
          <c:y val="0.1195"/>
          <c:w val="0.09025"/>
          <c:h val="0.7165"/>
        </c:manualLayout>
      </c:layout>
      <c:pieChart>
        <c:varyColors val="1"/>
        <c:ser>
          <c:idx val="0"/>
          <c:order val="0"/>
          <c:spPr>
            <a:solidFill>
              <a:srgbClr val="9999FF"/>
            </a:solidFill>
            <a:effectLst/>
          </c:spPr>
          <c:explosion val="0"/>
          <c:dPt>
            <c:idx val="0"/>
            <c:bubble3D val="0"/>
            <c:spPr>
              <a:solidFill>
                <a:srgbClr val="9999FF"/>
              </a:solidFill>
              <a:ln w="3175">
                <a:solidFill>
                  <a:srgbClr val="000000">
                    <a:alpha val="100000"/>
                  </a:srgbClr>
                </a:solidFill>
                <a:prstDash val="solid"/>
              </a:ln>
              <a:effectLst/>
            </c:spPr>
          </c:dPt>
          <c:dLbls>
            <c:numFmt formatCode="0%" sourceLinked="0"/>
            <c:spPr>
              <a:noFill/>
              <a:ln w="9525">
                <a:noFill/>
              </a:ln>
              <a:effectLst/>
            </c:spPr>
            <c:txPr>
              <a:bodyPr rot="0" spcFirstLastPara="0" vertOverflow="ellipsis" horzOverflow="overflow" vert="horz" wrap="square" lIns="38100" tIns="19050" rIns="38100" bIns="19050"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15:layout/>
                <c15:showLeaderLines val="1"/>
                <c15:leaderLines>
                  <c:spPr>
                    <a:ln w="9525" cap="flat" cmpd="sng" algn="ctr">
                      <a:solidFill>
                        <a:srgbClr val="000000">
                          <a:alpha val="100000"/>
                        </a:srgbClr>
                      </a:solidFill>
                      <a:prstDash val="solid"/>
                      <a:round/>
                    </a:ln>
                    <a:effectLst/>
                  </c:spPr>
                </c15:leaderLines>
              </c:ext>
            </c:extLst>
          </c:dLbls>
          <c:cat>
            <c:numRef>
              <c:f>表外数据录入!#REF!</c:f>
              <c:numCache>
                <c:ptCount val="0"/>
              </c:numCache>
            </c:numRef>
          </c:cat>
          <c:val>
            <c:numRef>
              <c:f>表外数据录入!#REF!</c:f>
              <c:numCache>
                <c:formatCode>General</c:formatCode>
                <c:ptCount val="1"/>
                <c:pt idx="0">
                  <c:v>1</c:v>
                </c:pt>
              </c:numCache>
            </c:numRef>
          </c:val>
        </c:ser>
        <c:dLbls>
          <c:showLegendKey val="0"/>
          <c:showVal val="0"/>
          <c:showCatName val="1"/>
          <c:showSerName val="0"/>
          <c:showPercent val="1"/>
          <c:showBubbleSize val="0"/>
          <c:showLeaderLines val="1"/>
        </c:dLbls>
        <c:firstSliceAng val="0"/>
      </c:pieChart>
      <c:spPr>
        <a:noFill/>
        <a:ln>
          <a:noFill/>
        </a:ln>
        <a:effectLst/>
      </c:spPr>
    </c:plotArea>
    <c:legend>
      <c:legendPos val="r"/>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375"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zero"/>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375"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4525"/>
          <c:y val="0.1195"/>
          <c:w val="0.91625"/>
          <c:h val="0.1045"/>
        </c:manualLayout>
      </c:layout>
      <c:lineChart>
        <c:grouping val="standard"/>
        <c:varyColors val="0"/>
        <c:ser>
          <c:idx val="0"/>
          <c:order val="0"/>
          <c:tx>
            <c:strRef>
              <c:f>表外数据录入!#REF!</c:f>
              <c:strCache>
                <c:ptCount val="1"/>
                <c:pt idx="0">
                  <c:v/>
                </c:pt>
              </c:strCache>
            </c:strRef>
          </c:tx>
          <c:spPr>
            <a:ln w="12700" cap="rnd" cmpd="sng" algn="ctr">
              <a:solidFill>
                <a:srgbClr val="00008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1"/>
          <c:order val="1"/>
          <c:tx>
            <c:strRef>
              <c:f>表外数据录入!#REF!</c:f>
              <c:strCache>
                <c:ptCount val="1"/>
                <c:pt idx="0">
                  <c:v/>
                </c:pt>
              </c:strCache>
            </c:strRef>
          </c:tx>
          <c:spPr>
            <a:ln w="12700" cap="rnd" cmpd="sng" algn="ctr">
              <a:solidFill>
                <a:srgbClr val="FF00FF"/>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2"/>
          <c:order val="2"/>
          <c:tx>
            <c:strRef>
              <c:f>表外数据录入!#REF!</c:f>
              <c:strCache>
                <c:ptCount val="1"/>
                <c:pt idx="0">
                  <c:v/>
                </c:pt>
              </c:strCache>
            </c:strRef>
          </c:tx>
          <c:spPr>
            <a:ln w="12700" cap="rnd" cmpd="sng" algn="ctr">
              <a:solidFill>
                <a:srgbClr val="FFFF00"/>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3"/>
          <c:order val="3"/>
          <c:tx>
            <c:strRef>
              <c:f>表外数据录入!#REF!</c:f>
              <c:strCache>
                <c:ptCount val="1"/>
                <c:pt idx="0">
                  <c:v/>
                </c:pt>
              </c:strCache>
            </c:strRef>
          </c:tx>
          <c:spPr>
            <a:ln w="12700" cap="rnd" cmpd="sng" algn="ctr">
              <a:solidFill>
                <a:srgbClr val="00FFFF"/>
              </a:solidFill>
              <a:prstDash val="solid"/>
              <a:round/>
            </a:ln>
            <a:effectLst/>
          </c:spPr>
          <c:marker>
            <c:symbol val="none"/>
          </c:marker>
          <c:dLbls>
            <c:delete val="1"/>
          </c:dLbls>
          <c:val>
            <c:numRef>
              <c:f>表外数据录入!#REF!</c:f>
              <c:numCache>
                <c:formatCode>General</c:formatCode>
                <c:ptCount val="1"/>
                <c:pt idx="0">
                  <c:v>1</c:v>
                </c:pt>
              </c:numCache>
            </c:numRef>
          </c:val>
          <c:smooth val="0"/>
        </c:ser>
        <c:ser>
          <c:idx val="4"/>
          <c:order val="4"/>
          <c:tx>
            <c:strRef>
              <c:f>表外数据录入!#REF!</c:f>
              <c:strCache>
                <c:ptCount val="1"/>
                <c:pt idx="0">
                  <c:v/>
                </c:pt>
              </c:strCache>
            </c:strRef>
          </c:tx>
          <c:spPr>
            <a:ln w="12700" cap="rnd" cmpd="sng" algn="ctr">
              <a:solidFill>
                <a:srgbClr val="800080"/>
              </a:solidFill>
              <a:prstDash val="solid"/>
              <a:round/>
            </a:ln>
            <a:effectLst/>
          </c:spPr>
          <c:marker>
            <c:symbol val="none"/>
          </c:marker>
          <c:dLbls>
            <c:delete val="1"/>
          </c:dLbls>
          <c:val>
            <c:numRef>
              <c:f>表外数据录入!#REF!</c:f>
              <c:numCache>
                <c:formatCode>General</c:formatCode>
                <c:ptCount val="1"/>
                <c:pt idx="0">
                  <c:v>1</c:v>
                </c:pt>
              </c:numCache>
            </c:numRef>
          </c:val>
          <c:smooth val="0"/>
        </c:ser>
        <c:dLbls>
          <c:showLegendKey val="0"/>
          <c:showVal val="0"/>
          <c:showCatName val="0"/>
          <c:showSerName val="0"/>
          <c:showPercent val="0"/>
          <c:showBubbleSize val="0"/>
        </c:dLbls>
        <c:marker val="0"/>
        <c:smooth val="0"/>
        <c:axId val="89804800"/>
        <c:axId val="89806336"/>
      </c:lineChart>
      <c:catAx>
        <c:axId val="89804800"/>
        <c:scaling>
          <c:orientation val="minMax"/>
        </c:scaling>
        <c:delete val="0"/>
        <c:axPos val="b"/>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806336"/>
        <c:crosses val="autoZero"/>
        <c:auto val="1"/>
        <c:lblAlgn val="ctr"/>
        <c:lblOffset val="100"/>
        <c:noMultiLvlLbl val="0"/>
      </c:catAx>
      <c:valAx>
        <c:axId val="89806336"/>
        <c:scaling>
          <c:orientation val="minMax"/>
        </c:scaling>
        <c:delete val="0"/>
        <c:axPos val="l"/>
        <c:majorGridlines>
          <c:spPr>
            <a:ln w="3175" cap="flat" cmpd="sng" algn="ctr">
              <a:solidFill>
                <a:srgbClr val="000000">
                  <a:alpha val="100000"/>
                </a:srgbClr>
              </a:solidFill>
              <a:prstDash val="solid"/>
              <a:round/>
            </a:ln>
            <a:effectLst/>
          </c:spPr>
        </c:majorGridlines>
        <c:numFmt formatCode="General" sourceLinked="1"/>
        <c:majorTickMark val="in"/>
        <c:minorTickMark val="none"/>
        <c:tickLblPos val="nextTo"/>
        <c:spPr>
          <a:noFill/>
          <a:ln w="3175" cap="flat" cmpd="sng" algn="ctr">
            <a:solidFill>
              <a:srgbClr val="000000"/>
            </a:solidFill>
            <a:prstDash val="solid"/>
            <a:round/>
          </a:ln>
          <a:effectLst/>
        </c:spPr>
        <c:txPr>
          <a:bodyPr rot="-60000000" spcFirstLastPara="0" vertOverflow="ellipsis" horzOverflow="overflow" vert="horz" wrap="square" anchor="ctr" anchorCtr="1"/>
          <a:lstStyle/>
          <a:p>
            <a:pPr>
              <a:defRPr lang="zh-CN" sz="2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crossAx val="89804800"/>
        <c:crosses val="autoZero"/>
        <c:crossBetween val="between"/>
      </c:valAx>
      <c:spPr>
        <a:solidFill>
          <a:srgbClr val="C0C0C0">
            <a:alpha val="100000"/>
          </a:srgbClr>
        </a:solidFill>
        <a:ln w="12700">
          <a:solidFill>
            <a:srgbClr val="808080">
              <a:alpha val="100000"/>
            </a:srgbClr>
          </a:solidFill>
          <a:prstDash val="solid"/>
        </a:ln>
        <a:effectLst/>
      </c:spPr>
    </c:plotArea>
    <c:legend>
      <c:legendPos val="b"/>
      <c:layout/>
      <c:overlay val="0"/>
      <c:spPr>
        <a:solidFill>
          <a:srgbClr val="FFFFFF"/>
        </a:solidFill>
        <a:ln w="3175">
          <a:solidFill>
            <a:srgbClr val="000000">
              <a:alpha val="100000"/>
            </a:srgbClr>
          </a:solidFill>
          <a:prstDash val="solid"/>
        </a:ln>
        <a:effectLst/>
      </c:spPr>
      <c:txPr>
        <a:bodyPr rot="0" spcFirstLastPara="0" vertOverflow="ellipsis" horzOverflow="overflow" vert="horz" wrap="square" anchor="ctr" anchorCtr="1"/>
        <a:lstStyle/>
        <a:p>
          <a:pPr>
            <a:defRPr lang="zh-CN" sz="900" b="0" i="0" u="none" strike="noStrike" kern="1200"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legend>
    <c:plotVisOnly val="1"/>
    <c:dispBlanksAs val="gap"/>
    <c:showDLblsOverMax val="0"/>
  </c:chart>
  <c:spPr>
    <a:solidFill>
      <a:srgbClr val="FFFFFF"/>
    </a:solidFill>
    <a:ln w="3175" cap="flat" cmpd="sng" algn="ctr">
      <a:solidFill>
        <a:srgbClr val="000000">
          <a:alpha val="100000"/>
        </a:srgbClr>
      </a:solidFill>
      <a:prstDash val="solid"/>
      <a:round/>
    </a:ln>
    <a:effectLst/>
  </c:spPr>
  <c:txPr>
    <a:bodyPr rot="0" spcFirstLastPara="0" vertOverflow="ellipsis" horzOverflow="overflow" vert="horz" wrap="square" anchor="ctr" anchorCtr="1"/>
    <a:lstStyle/>
    <a:p>
      <a:pPr>
        <a:defRPr lang="zh-CN" sz="200" b="0" i="0" u="none" strike="noStrike" baseline="0">
          <a:solidFill>
            <a:srgbClr val="000000"/>
          </a:solidFill>
          <a:latin typeface="Times New Roman" panose="02020603050405020304" pitchFamily="1" charset="0"/>
          <a:ea typeface="Times New Roman" panose="02020603050405020304" pitchFamily="1" charset="0"/>
          <a:cs typeface="Times New Roman" panose="02020603050405020304" pitchFamily="1" charset="0"/>
        </a:defRPr>
      </a:pPr>
    </a:p>
  </c:txPr>
  <c:printSettings>
    <c:headerFooter/>
    <c:pageMargins b="0.75" l="0.7" r="0.7" t="0.75" header="0.3" footer="0.3"/>
    <c:pageSetup/>
  </c:printSettings>
</c:chartSpace>
</file>

<file path=xl/ctrlProps/ctrlProp1.xml><?xml version="1.0" encoding="utf-8"?>
<formControlPr xmlns="http://schemas.microsoft.com/office/spreadsheetml/2009/9/main" objectType="Drop" dx="16" fmlaLink="$B$19" fmlaRange="$R$23:$R$71" max="41" page="8" sel="1" val="0"/>
</file>

<file path=xl/ctrlProps/ctrlProp10.xml><?xml version="1.0" encoding="utf-8"?>
<formControlPr xmlns="http://schemas.microsoft.com/office/spreadsheetml/2009/9/main" objectType="Spin" dx="16" fmlaLink="$D$21" max="30000" page="10" val="14"/>
</file>

<file path=xl/ctrlProps/ctrlProp11.xml><?xml version="1.0" encoding="utf-8"?>
<formControlPr xmlns="http://schemas.microsoft.com/office/spreadsheetml/2009/9/main" objectType="Spin" dx="16" fmlaLink="$D$22" max="30000" page="10" val="10"/>
</file>

<file path=xl/ctrlProps/ctrlProp12.xml><?xml version="1.0" encoding="utf-8"?>
<formControlPr xmlns="http://schemas.microsoft.com/office/spreadsheetml/2009/9/main" objectType="Spin" dx="16" fmlaLink="$D$23" max="30000" page="10" val="12"/>
</file>

<file path=xl/ctrlProps/ctrlProp13.xml><?xml version="1.0" encoding="utf-8"?>
<formControlPr xmlns="http://schemas.microsoft.com/office/spreadsheetml/2009/9/main" objectType="Spin" dx="16" fmlaLink="$F$20" max="30000" page="10" val="6"/>
</file>

<file path=xl/ctrlProps/ctrlProp14.xml><?xml version="1.0" encoding="utf-8"?>
<formControlPr xmlns="http://schemas.microsoft.com/office/spreadsheetml/2009/9/main" objectType="Spin" dx="16" fmlaLink="$F$21" max="30000" page="10" val="1812"/>
</file>

<file path=xl/ctrlProps/ctrlProp15.xml><?xml version="1.0" encoding="utf-8"?>
<formControlPr xmlns="http://schemas.microsoft.com/office/spreadsheetml/2009/9/main" objectType="Spin" dx="16" fmlaLink="$F$22" max="30000" page="10" val="21"/>
</file>

<file path=xl/ctrlProps/ctrlProp16.xml><?xml version="1.0" encoding="utf-8"?>
<formControlPr xmlns="http://schemas.microsoft.com/office/spreadsheetml/2009/9/main" objectType="Spin" dx="16" fmlaLink="$F$23" max="30000" page="10" val="51"/>
</file>

<file path=xl/ctrlProps/ctrlProp17.xml><?xml version="1.0" encoding="utf-8"?>
<formControlPr xmlns="http://schemas.microsoft.com/office/spreadsheetml/2009/9/main" objectType="Spin" dx="16" fmlaLink="$D$21" max="30000" page="10" val="14"/>
</file>

<file path=xl/ctrlProps/ctrlProp18.xml><?xml version="1.0" encoding="utf-8"?>
<formControlPr xmlns="http://schemas.microsoft.com/office/spreadsheetml/2009/9/main" objectType="Spin" dx="16" fmlaLink="$D$22" max="30000" page="10" val="10"/>
</file>

<file path=xl/ctrlProps/ctrlProp19.xml><?xml version="1.0" encoding="utf-8"?>
<formControlPr xmlns="http://schemas.microsoft.com/office/spreadsheetml/2009/9/main" objectType="Spin" dx="16" fmlaLink="$D$23" max="30000" page="10" val="12"/>
</file>

<file path=xl/ctrlProps/ctrlProp2.xml><?xml version="1.0" encoding="utf-8"?>
<formControlPr xmlns="http://schemas.microsoft.com/office/spreadsheetml/2009/9/main" objectType="Drop" dx="16" fmlaLink="$B$18" fmlaRange="$R$2:$R$21" max="12" page="8" sel="20" val="0"/>
</file>

<file path=xl/ctrlProps/ctrlProp20.xml><?xml version="1.0" encoding="utf-8"?>
<formControlPr xmlns="http://schemas.microsoft.com/office/spreadsheetml/2009/9/main" objectType="Spin" dx="16" fmlaLink="$F$20" max="30000" page="10" val="6"/>
</file>

<file path=xl/ctrlProps/ctrlProp21.xml><?xml version="1.0" encoding="utf-8"?>
<formControlPr xmlns="http://schemas.microsoft.com/office/spreadsheetml/2009/9/main" objectType="Spin" dx="16" fmlaLink="$F$21" max="30000" page="10" val="1812"/>
</file>

<file path=xl/ctrlProps/ctrlProp22.xml><?xml version="1.0" encoding="utf-8"?>
<formControlPr xmlns="http://schemas.microsoft.com/office/spreadsheetml/2009/9/main" objectType="Spin" dx="16" fmlaLink="$F$22" max="30000" page="10" val="21"/>
</file>

<file path=xl/ctrlProps/ctrlProp23.xml><?xml version="1.0" encoding="utf-8"?>
<formControlPr xmlns="http://schemas.microsoft.com/office/spreadsheetml/2009/9/main" objectType="Spin" dx="16" fmlaLink="$F$23" max="30000" page="10" val="51"/>
</file>

<file path=xl/ctrlProps/ctrlProp24.xml><?xml version="1.0" encoding="utf-8"?>
<formControlPr xmlns="http://schemas.microsoft.com/office/spreadsheetml/2009/9/main" objectType="Spin" dx="16" fmlaLink="$K$24" max="100" page="10" val="8"/>
</file>

<file path=xl/ctrlProps/ctrlProp25.xml><?xml version="1.0" encoding="utf-8"?>
<formControlPr xmlns="http://schemas.microsoft.com/office/spreadsheetml/2009/9/main" objectType="Spin" dx="16" fmlaLink="$L$24" max="100" page="10" val="12"/>
</file>

<file path=xl/ctrlProps/ctrlProp26.xml><?xml version="1.0" encoding="utf-8"?>
<formControlPr xmlns="http://schemas.microsoft.com/office/spreadsheetml/2009/9/main" objectType="Spin" dx="16" fmlaLink="$L$25" max="30000" page="10" val="10"/>
</file>

<file path=xl/ctrlProps/ctrlProp27.xml><?xml version="1.0" encoding="utf-8"?>
<formControlPr xmlns="http://schemas.microsoft.com/office/spreadsheetml/2009/9/main" objectType="Spin" dx="16" fmlaLink="$K$25" max="100" page="10" val="5"/>
</file>

<file path=xl/ctrlProps/ctrlProp28.xml><?xml version="1.0" encoding="utf-8"?>
<formControlPr xmlns="http://schemas.microsoft.com/office/spreadsheetml/2009/9/main" objectType="Scroll" dx="16" fmlaLink="$C$18" horiz="1" max="30000" page="10" val="10000"/>
</file>

<file path=xl/ctrlProps/ctrlProp29.xml><?xml version="1.0" encoding="utf-8"?>
<formControlPr xmlns="http://schemas.microsoft.com/office/spreadsheetml/2009/9/main" objectType="Scroll" dx="16" fmlaLink="$K$19" horiz="1" max="100" page="10" val="16"/>
</file>

<file path=xl/ctrlProps/ctrlProp3.xml><?xml version="1.0" encoding="utf-8"?>
<formControlPr xmlns="http://schemas.microsoft.com/office/spreadsheetml/2009/9/main" objectType="Scroll" dx="16" fmlaLink="$I$7" horiz="1" max="120" min="1" page="10" val="27"/>
</file>

<file path=xl/ctrlProps/ctrlProp30.xml><?xml version="1.0" encoding="utf-8"?>
<formControlPr xmlns="http://schemas.microsoft.com/office/spreadsheetml/2009/9/main" objectType="Scroll" dx="16" fmlaLink="$K$20" horiz="1" max="100" page="10" val="65"/>
</file>

<file path=xl/ctrlProps/ctrlProp31.xml><?xml version="1.0" encoding="utf-8"?>
<formControlPr xmlns="http://schemas.microsoft.com/office/spreadsheetml/2009/9/main" objectType="Scroll" dx="16" fmlaLink="$K$21" horiz="1" max="100" page="10" val="25"/>
</file>

<file path=xl/ctrlProps/ctrlProp4.xml><?xml version="1.0" encoding="utf-8"?>
<formControlPr xmlns="http://schemas.microsoft.com/office/spreadsheetml/2009/9/main" objectType="Scroll" dx="16" fmlaLink="$I$7" horiz="1" max="120" min="1" page="10" val="1"/>
</file>

<file path=xl/ctrlProps/ctrlProp5.xml><?xml version="1.0" encoding="utf-8"?>
<formControlPr xmlns="http://schemas.microsoft.com/office/spreadsheetml/2009/9/main" objectType="Scroll" dx="16" fmlaLink="$I$7" horiz="1" max="120" min="1" page="10" val="1"/>
</file>

<file path=xl/ctrlProps/ctrlProp6.xml><?xml version="1.0" encoding="utf-8"?>
<formControlPr xmlns="http://schemas.microsoft.com/office/spreadsheetml/2009/9/main" objectType="Scroll" dx="16" fmlaLink="$D$4" horiz="1" max="100" page="10" val="1"/>
</file>

<file path=xl/ctrlProps/ctrlProp7.xml><?xml version="1.0" encoding="utf-8"?>
<formControlPr xmlns="http://schemas.microsoft.com/office/spreadsheetml/2009/9/main" objectType="Scroll" dx="16" fmlaLink="$D$5" horiz="1" max="100" page="10" val="0"/>
</file>

<file path=xl/ctrlProps/ctrlProp8.xml><?xml version="1.0" encoding="utf-8"?>
<formControlPr xmlns="http://schemas.microsoft.com/office/spreadsheetml/2009/9/main" objectType="Scroll" dx="16" fmlaLink="$D$6" horiz="1" max="100" page="10" val="0"/>
</file>

<file path=xl/ctrlProps/ctrlProp9.xml><?xml version="1.0" encoding="utf-8"?>
<formControlPr xmlns="http://schemas.microsoft.com/office/spreadsheetml/2009/9/main" objectType="Scroll" dx="16" fmlaLink="$D$7" horiz="1" max="100" page="10" val="0"/>
</file>

<file path=xl/drawings/_rels/drawing12.xml.rels><?xml version="1.0" encoding="UTF-8" standalone="yes"?>
<Relationships xmlns="http://schemas.openxmlformats.org/package/2006/relationships"><Relationship Id="rId5" Type="http://schemas.openxmlformats.org/officeDocument/2006/relationships/chart" Target="../charts/chart5.xml"/><Relationship Id="rId4" Type="http://schemas.openxmlformats.org/officeDocument/2006/relationships/chart" Target="../charts/chart4.xml"/><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26.xml.rels><?xml version="1.0" encoding="UTF-8" standalone="yes"?>
<Relationships xmlns="http://schemas.openxmlformats.org/package/2006/relationships"><Relationship Id="rId1" Type="http://schemas.openxmlformats.org/officeDocument/2006/relationships/hyperlink" Target="#&#30446;&#24405;!A1"/></Relationships>
</file>

<file path=xl/drawings/_rels/drawing27.xml.rels><?xml version="1.0" encoding="UTF-8" standalone="yes"?>
<Relationships xmlns="http://schemas.openxmlformats.org/package/2006/relationships"><Relationship Id="rId1" Type="http://schemas.openxmlformats.org/officeDocument/2006/relationships/hyperlink" Target="#&#30446;&#24405;!A1"/></Relationships>
</file>

<file path=xl/drawings/_rels/drawing28.xml.rels><?xml version="1.0" encoding="UTF-8" standalone="yes"?>
<Relationships xmlns="http://schemas.openxmlformats.org/package/2006/relationships"><Relationship Id="rId1" Type="http://schemas.openxmlformats.org/officeDocument/2006/relationships/hyperlink" Target="#&#30446;&#24405;!A1"/></Relationships>
</file>

<file path=xl/drawings/_rels/drawing3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9" Type="http://schemas.openxmlformats.org/officeDocument/2006/relationships/chart" Target="../charts/chart23.xml"/><Relationship Id="rId8" Type="http://schemas.openxmlformats.org/officeDocument/2006/relationships/chart" Target="../charts/chart22.xml"/><Relationship Id="rId7" Type="http://schemas.openxmlformats.org/officeDocument/2006/relationships/chart" Target="../charts/chart21.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3" Type="http://schemas.openxmlformats.org/officeDocument/2006/relationships/chart" Target="../charts/chart17.xml"/><Relationship Id="rId2" Type="http://schemas.openxmlformats.org/officeDocument/2006/relationships/chart" Target="../charts/chart16.xml"/><Relationship Id="rId10" Type="http://schemas.openxmlformats.org/officeDocument/2006/relationships/chart" Target="../charts/chart24.xml"/><Relationship Id="rId1" Type="http://schemas.openxmlformats.org/officeDocument/2006/relationships/chart" Target="../charts/chart15.xml"/></Relationships>
</file>

<file path=xl/drawings/_rels/drawing34.xml.rels><?xml version="1.0" encoding="UTF-8" standalone="yes"?>
<Relationships xmlns="http://schemas.openxmlformats.org/package/2006/relationships"><Relationship Id="rId9" Type="http://schemas.openxmlformats.org/officeDocument/2006/relationships/chart" Target="../charts/chart33.xml"/><Relationship Id="rId8" Type="http://schemas.openxmlformats.org/officeDocument/2006/relationships/chart" Target="../charts/chart32.xml"/><Relationship Id="rId7" Type="http://schemas.openxmlformats.org/officeDocument/2006/relationships/chart" Target="../charts/chart31.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 Id="rId3" Type="http://schemas.openxmlformats.org/officeDocument/2006/relationships/chart" Target="../charts/chart27.xml"/><Relationship Id="rId2" Type="http://schemas.openxmlformats.org/officeDocument/2006/relationships/chart" Target="../charts/chart26.xml"/><Relationship Id="rId10" Type="http://schemas.openxmlformats.org/officeDocument/2006/relationships/chart" Target="../charts/chart34.xml"/><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9" Type="http://schemas.openxmlformats.org/officeDocument/2006/relationships/chart" Target="../charts/chart43.xml"/><Relationship Id="rId8" Type="http://schemas.openxmlformats.org/officeDocument/2006/relationships/chart" Target="../charts/chart42.xml"/><Relationship Id="rId7" Type="http://schemas.openxmlformats.org/officeDocument/2006/relationships/chart" Target="../charts/chart41.xml"/><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3" Type="http://schemas.openxmlformats.org/officeDocument/2006/relationships/chart" Target="../charts/chart37.xml"/><Relationship Id="rId2" Type="http://schemas.openxmlformats.org/officeDocument/2006/relationships/chart" Target="../charts/chart36.xml"/><Relationship Id="rId16" Type="http://schemas.openxmlformats.org/officeDocument/2006/relationships/chart" Target="../charts/chart50.xml"/><Relationship Id="rId15" Type="http://schemas.openxmlformats.org/officeDocument/2006/relationships/chart" Target="../charts/chart49.xml"/><Relationship Id="rId14" Type="http://schemas.openxmlformats.org/officeDocument/2006/relationships/chart" Target="../charts/chart48.xml"/><Relationship Id="rId13" Type="http://schemas.openxmlformats.org/officeDocument/2006/relationships/chart" Target="../charts/chart47.xml"/><Relationship Id="rId12" Type="http://schemas.openxmlformats.org/officeDocument/2006/relationships/chart" Target="../charts/chart46.xml"/><Relationship Id="rId11" Type="http://schemas.openxmlformats.org/officeDocument/2006/relationships/chart" Target="../charts/chart45.xml"/><Relationship Id="rId10" Type="http://schemas.openxmlformats.org/officeDocument/2006/relationships/chart" Target="../charts/chart44.xml"/><Relationship Id="rId1" Type="http://schemas.openxmlformats.org/officeDocument/2006/relationships/chart" Target="../charts/chart35.xml"/></Relationships>
</file>

<file path=xl/drawings/_rels/drawing36.xml.rels><?xml version="1.0" encoding="UTF-8" standalone="yes"?>
<Relationships xmlns="http://schemas.openxmlformats.org/package/2006/relationships"><Relationship Id="rId9" Type="http://schemas.openxmlformats.org/officeDocument/2006/relationships/chart" Target="../charts/chart59.xml"/><Relationship Id="rId8" Type="http://schemas.openxmlformats.org/officeDocument/2006/relationships/chart" Target="../charts/chart58.xml"/><Relationship Id="rId7" Type="http://schemas.openxmlformats.org/officeDocument/2006/relationships/chart" Target="../charts/chart57.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 Id="rId3" Type="http://schemas.openxmlformats.org/officeDocument/2006/relationships/chart" Target="../charts/chart53.xml"/><Relationship Id="rId20" Type="http://schemas.openxmlformats.org/officeDocument/2006/relationships/chart" Target="../charts/chart70.xml"/><Relationship Id="rId2" Type="http://schemas.openxmlformats.org/officeDocument/2006/relationships/chart" Target="../charts/chart52.xml"/><Relationship Id="rId19" Type="http://schemas.openxmlformats.org/officeDocument/2006/relationships/chart" Target="../charts/chart69.xml"/><Relationship Id="rId18" Type="http://schemas.openxmlformats.org/officeDocument/2006/relationships/chart" Target="../charts/chart68.xml"/><Relationship Id="rId17" Type="http://schemas.openxmlformats.org/officeDocument/2006/relationships/chart" Target="../charts/chart67.xml"/><Relationship Id="rId16" Type="http://schemas.openxmlformats.org/officeDocument/2006/relationships/chart" Target="../charts/chart66.xml"/><Relationship Id="rId15" Type="http://schemas.openxmlformats.org/officeDocument/2006/relationships/chart" Target="../charts/chart65.xml"/><Relationship Id="rId14" Type="http://schemas.openxmlformats.org/officeDocument/2006/relationships/chart" Target="../charts/chart64.xml"/><Relationship Id="rId13" Type="http://schemas.openxmlformats.org/officeDocument/2006/relationships/chart" Target="../charts/chart63.xml"/><Relationship Id="rId12" Type="http://schemas.openxmlformats.org/officeDocument/2006/relationships/chart" Target="../charts/chart62.xml"/><Relationship Id="rId11" Type="http://schemas.openxmlformats.org/officeDocument/2006/relationships/chart" Target="../charts/chart61.xml"/><Relationship Id="rId10" Type="http://schemas.openxmlformats.org/officeDocument/2006/relationships/chart" Target="../charts/chart60.xml"/><Relationship Id="rId1" Type="http://schemas.openxmlformats.org/officeDocument/2006/relationships/chart" Target="../charts/chart51.xml"/></Relationships>
</file>

<file path=xl/drawings/_rels/drawing37.xml.rels><?xml version="1.0" encoding="UTF-8" standalone="yes"?>
<Relationships xmlns="http://schemas.openxmlformats.org/package/2006/relationships"><Relationship Id="rId9" Type="http://schemas.openxmlformats.org/officeDocument/2006/relationships/chart" Target="../charts/chart79.xml"/><Relationship Id="rId8" Type="http://schemas.openxmlformats.org/officeDocument/2006/relationships/chart" Target="../charts/chart78.xml"/><Relationship Id="rId7" Type="http://schemas.openxmlformats.org/officeDocument/2006/relationships/chart" Target="../charts/chart77.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 Id="rId3" Type="http://schemas.openxmlformats.org/officeDocument/2006/relationships/chart" Target="../charts/chart73.xml"/><Relationship Id="rId20" Type="http://schemas.openxmlformats.org/officeDocument/2006/relationships/chart" Target="../charts/chart90.xml"/><Relationship Id="rId2" Type="http://schemas.openxmlformats.org/officeDocument/2006/relationships/chart" Target="../charts/chart72.xml"/><Relationship Id="rId19" Type="http://schemas.openxmlformats.org/officeDocument/2006/relationships/chart" Target="../charts/chart89.xml"/><Relationship Id="rId18" Type="http://schemas.openxmlformats.org/officeDocument/2006/relationships/chart" Target="../charts/chart88.xml"/><Relationship Id="rId17" Type="http://schemas.openxmlformats.org/officeDocument/2006/relationships/chart" Target="../charts/chart87.xml"/><Relationship Id="rId16" Type="http://schemas.openxmlformats.org/officeDocument/2006/relationships/chart" Target="../charts/chart86.xml"/><Relationship Id="rId15" Type="http://schemas.openxmlformats.org/officeDocument/2006/relationships/chart" Target="../charts/chart85.xml"/><Relationship Id="rId14" Type="http://schemas.openxmlformats.org/officeDocument/2006/relationships/chart" Target="../charts/chart84.xml"/><Relationship Id="rId13" Type="http://schemas.openxmlformats.org/officeDocument/2006/relationships/chart" Target="../charts/chart83.xml"/><Relationship Id="rId12" Type="http://schemas.openxmlformats.org/officeDocument/2006/relationships/chart" Target="../charts/chart82.xml"/><Relationship Id="rId11" Type="http://schemas.openxmlformats.org/officeDocument/2006/relationships/chart" Target="../charts/chart81.xml"/><Relationship Id="rId10" Type="http://schemas.openxmlformats.org/officeDocument/2006/relationships/chart" Target="../charts/chart80.xml"/><Relationship Id="rId1" Type="http://schemas.openxmlformats.org/officeDocument/2006/relationships/chart" Target="../charts/chart71.xml"/></Relationships>
</file>

<file path=xl/drawings/_rels/drawing38.xml.rels><?xml version="1.0" encoding="UTF-8" standalone="yes"?>
<Relationships xmlns="http://schemas.openxmlformats.org/package/2006/relationships"><Relationship Id="rId9" Type="http://schemas.openxmlformats.org/officeDocument/2006/relationships/chart" Target="../charts/chart99.xml"/><Relationship Id="rId8" Type="http://schemas.openxmlformats.org/officeDocument/2006/relationships/chart" Target="../charts/chart98.xml"/><Relationship Id="rId7" Type="http://schemas.openxmlformats.org/officeDocument/2006/relationships/chart" Target="../charts/chart97.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 Id="rId3" Type="http://schemas.openxmlformats.org/officeDocument/2006/relationships/chart" Target="../charts/chart93.xml"/><Relationship Id="rId20" Type="http://schemas.openxmlformats.org/officeDocument/2006/relationships/chart" Target="../charts/chart110.xml"/><Relationship Id="rId2" Type="http://schemas.openxmlformats.org/officeDocument/2006/relationships/chart" Target="../charts/chart92.xml"/><Relationship Id="rId19" Type="http://schemas.openxmlformats.org/officeDocument/2006/relationships/chart" Target="../charts/chart109.xml"/><Relationship Id="rId18" Type="http://schemas.openxmlformats.org/officeDocument/2006/relationships/chart" Target="../charts/chart108.xml"/><Relationship Id="rId17" Type="http://schemas.openxmlformats.org/officeDocument/2006/relationships/chart" Target="../charts/chart107.xml"/><Relationship Id="rId16" Type="http://schemas.openxmlformats.org/officeDocument/2006/relationships/chart" Target="../charts/chart106.xml"/><Relationship Id="rId15" Type="http://schemas.openxmlformats.org/officeDocument/2006/relationships/chart" Target="../charts/chart105.xml"/><Relationship Id="rId14" Type="http://schemas.openxmlformats.org/officeDocument/2006/relationships/chart" Target="../charts/chart104.xml"/><Relationship Id="rId13" Type="http://schemas.openxmlformats.org/officeDocument/2006/relationships/chart" Target="../charts/chart103.xml"/><Relationship Id="rId12" Type="http://schemas.openxmlformats.org/officeDocument/2006/relationships/chart" Target="../charts/chart102.xml"/><Relationship Id="rId11" Type="http://schemas.openxmlformats.org/officeDocument/2006/relationships/chart" Target="../charts/chart101.xml"/><Relationship Id="rId10" Type="http://schemas.openxmlformats.org/officeDocument/2006/relationships/chart" Target="../charts/chart100.xml"/><Relationship Id="rId1" Type="http://schemas.openxmlformats.org/officeDocument/2006/relationships/chart" Target="../charts/chart91.xml"/></Relationships>
</file>

<file path=xl/drawings/_rels/drawing39.xml.rels><?xml version="1.0" encoding="UTF-8" standalone="yes"?>
<Relationships xmlns="http://schemas.openxmlformats.org/package/2006/relationships"><Relationship Id="rId9" Type="http://schemas.openxmlformats.org/officeDocument/2006/relationships/chart" Target="../charts/chart119.xml"/><Relationship Id="rId8" Type="http://schemas.openxmlformats.org/officeDocument/2006/relationships/chart" Target="../charts/chart118.xml"/><Relationship Id="rId7" Type="http://schemas.openxmlformats.org/officeDocument/2006/relationships/chart" Target="../charts/chart117.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 Id="rId3" Type="http://schemas.openxmlformats.org/officeDocument/2006/relationships/chart" Target="../charts/chart113.xml"/><Relationship Id="rId20" Type="http://schemas.openxmlformats.org/officeDocument/2006/relationships/chart" Target="../charts/chart130.xml"/><Relationship Id="rId2" Type="http://schemas.openxmlformats.org/officeDocument/2006/relationships/chart" Target="../charts/chart112.xml"/><Relationship Id="rId19" Type="http://schemas.openxmlformats.org/officeDocument/2006/relationships/chart" Target="../charts/chart129.xml"/><Relationship Id="rId18" Type="http://schemas.openxmlformats.org/officeDocument/2006/relationships/chart" Target="../charts/chart128.xml"/><Relationship Id="rId17" Type="http://schemas.openxmlformats.org/officeDocument/2006/relationships/chart" Target="../charts/chart127.xml"/><Relationship Id="rId16" Type="http://schemas.openxmlformats.org/officeDocument/2006/relationships/chart" Target="../charts/chart126.xml"/><Relationship Id="rId15" Type="http://schemas.openxmlformats.org/officeDocument/2006/relationships/chart" Target="../charts/chart125.xml"/><Relationship Id="rId14" Type="http://schemas.openxmlformats.org/officeDocument/2006/relationships/chart" Target="../charts/chart124.xml"/><Relationship Id="rId13" Type="http://schemas.openxmlformats.org/officeDocument/2006/relationships/chart" Target="../charts/chart123.xml"/><Relationship Id="rId12" Type="http://schemas.openxmlformats.org/officeDocument/2006/relationships/chart" Target="../charts/chart122.xml"/><Relationship Id="rId11" Type="http://schemas.openxmlformats.org/officeDocument/2006/relationships/chart" Target="../charts/chart121.xml"/><Relationship Id="rId10" Type="http://schemas.openxmlformats.org/officeDocument/2006/relationships/chart" Target="../charts/chart120.xml"/><Relationship Id="rId1" Type="http://schemas.openxmlformats.org/officeDocument/2006/relationships/chart" Target="../charts/chart111.xml"/></Relationships>
</file>

<file path=xl/drawings/_rels/drawing40.xml.rels><?xml version="1.0" encoding="UTF-8" standalone="yes"?>
<Relationships xmlns="http://schemas.openxmlformats.org/package/2006/relationships"><Relationship Id="rId9" Type="http://schemas.openxmlformats.org/officeDocument/2006/relationships/chart" Target="../charts/chart139.xml"/><Relationship Id="rId8" Type="http://schemas.openxmlformats.org/officeDocument/2006/relationships/chart" Target="../charts/chart138.xml"/><Relationship Id="rId7" Type="http://schemas.openxmlformats.org/officeDocument/2006/relationships/chart" Target="../charts/chart137.xml"/><Relationship Id="rId6" Type="http://schemas.openxmlformats.org/officeDocument/2006/relationships/chart" Target="../charts/chart136.xml"/><Relationship Id="rId5" Type="http://schemas.openxmlformats.org/officeDocument/2006/relationships/chart" Target="../charts/chart135.xml"/><Relationship Id="rId4" Type="http://schemas.openxmlformats.org/officeDocument/2006/relationships/chart" Target="../charts/chart134.xml"/><Relationship Id="rId3" Type="http://schemas.openxmlformats.org/officeDocument/2006/relationships/chart" Target="../charts/chart133.xml"/><Relationship Id="rId20" Type="http://schemas.openxmlformats.org/officeDocument/2006/relationships/chart" Target="../charts/chart150.xml"/><Relationship Id="rId2" Type="http://schemas.openxmlformats.org/officeDocument/2006/relationships/chart" Target="../charts/chart132.xml"/><Relationship Id="rId19" Type="http://schemas.openxmlformats.org/officeDocument/2006/relationships/chart" Target="../charts/chart149.xml"/><Relationship Id="rId18" Type="http://schemas.openxmlformats.org/officeDocument/2006/relationships/chart" Target="../charts/chart148.xml"/><Relationship Id="rId17" Type="http://schemas.openxmlformats.org/officeDocument/2006/relationships/chart" Target="../charts/chart147.xml"/><Relationship Id="rId16" Type="http://schemas.openxmlformats.org/officeDocument/2006/relationships/chart" Target="../charts/chart146.xml"/><Relationship Id="rId15" Type="http://schemas.openxmlformats.org/officeDocument/2006/relationships/chart" Target="../charts/chart145.xml"/><Relationship Id="rId14" Type="http://schemas.openxmlformats.org/officeDocument/2006/relationships/chart" Target="../charts/chart144.xml"/><Relationship Id="rId13" Type="http://schemas.openxmlformats.org/officeDocument/2006/relationships/chart" Target="../charts/chart143.xml"/><Relationship Id="rId12" Type="http://schemas.openxmlformats.org/officeDocument/2006/relationships/chart" Target="../charts/chart142.xml"/><Relationship Id="rId11" Type="http://schemas.openxmlformats.org/officeDocument/2006/relationships/chart" Target="../charts/chart141.xml"/><Relationship Id="rId10" Type="http://schemas.openxmlformats.org/officeDocument/2006/relationships/chart" Target="../charts/chart140.xml"/><Relationship Id="rId1" Type="http://schemas.openxmlformats.org/officeDocument/2006/relationships/chart" Target="../charts/chart131.xml"/></Relationships>
</file>

<file path=xl/drawings/_rels/drawing41.xml.rels><?xml version="1.0" encoding="UTF-8" standalone="yes"?>
<Relationships xmlns="http://schemas.openxmlformats.org/package/2006/relationships"><Relationship Id="rId9" Type="http://schemas.openxmlformats.org/officeDocument/2006/relationships/chart" Target="../charts/chart159.xml"/><Relationship Id="rId8" Type="http://schemas.openxmlformats.org/officeDocument/2006/relationships/chart" Target="../charts/chart158.xml"/><Relationship Id="rId7" Type="http://schemas.openxmlformats.org/officeDocument/2006/relationships/chart" Target="../charts/chart157.xml"/><Relationship Id="rId6" Type="http://schemas.openxmlformats.org/officeDocument/2006/relationships/chart" Target="../charts/chart156.xml"/><Relationship Id="rId5" Type="http://schemas.openxmlformats.org/officeDocument/2006/relationships/chart" Target="../charts/chart155.xml"/><Relationship Id="rId4" Type="http://schemas.openxmlformats.org/officeDocument/2006/relationships/chart" Target="../charts/chart154.xml"/><Relationship Id="rId3" Type="http://schemas.openxmlformats.org/officeDocument/2006/relationships/chart" Target="../charts/chart153.xml"/><Relationship Id="rId20" Type="http://schemas.openxmlformats.org/officeDocument/2006/relationships/chart" Target="../charts/chart170.xml"/><Relationship Id="rId2" Type="http://schemas.openxmlformats.org/officeDocument/2006/relationships/chart" Target="../charts/chart152.xml"/><Relationship Id="rId19" Type="http://schemas.openxmlformats.org/officeDocument/2006/relationships/chart" Target="../charts/chart169.xml"/><Relationship Id="rId18" Type="http://schemas.openxmlformats.org/officeDocument/2006/relationships/chart" Target="../charts/chart168.xml"/><Relationship Id="rId17" Type="http://schemas.openxmlformats.org/officeDocument/2006/relationships/chart" Target="../charts/chart167.xml"/><Relationship Id="rId16" Type="http://schemas.openxmlformats.org/officeDocument/2006/relationships/chart" Target="../charts/chart166.xml"/><Relationship Id="rId15" Type="http://schemas.openxmlformats.org/officeDocument/2006/relationships/chart" Target="../charts/chart165.xml"/><Relationship Id="rId14" Type="http://schemas.openxmlformats.org/officeDocument/2006/relationships/chart" Target="../charts/chart164.xml"/><Relationship Id="rId13" Type="http://schemas.openxmlformats.org/officeDocument/2006/relationships/chart" Target="../charts/chart163.xml"/><Relationship Id="rId12" Type="http://schemas.openxmlformats.org/officeDocument/2006/relationships/chart" Target="../charts/chart162.xml"/><Relationship Id="rId11" Type="http://schemas.openxmlformats.org/officeDocument/2006/relationships/chart" Target="../charts/chart161.xml"/><Relationship Id="rId10" Type="http://schemas.openxmlformats.org/officeDocument/2006/relationships/chart" Target="../charts/chart160.xml"/><Relationship Id="rId1" Type="http://schemas.openxmlformats.org/officeDocument/2006/relationships/chart" Target="../charts/chart151.xml"/></Relationships>
</file>

<file path=xl/drawings/_rels/drawing42.xml.rels><?xml version="1.0" encoding="UTF-8" standalone="yes"?>
<Relationships xmlns="http://schemas.openxmlformats.org/package/2006/relationships"><Relationship Id="rId9" Type="http://schemas.openxmlformats.org/officeDocument/2006/relationships/chart" Target="../charts/chart179.xml"/><Relationship Id="rId8" Type="http://schemas.openxmlformats.org/officeDocument/2006/relationships/chart" Target="../charts/chart178.xml"/><Relationship Id="rId7" Type="http://schemas.openxmlformats.org/officeDocument/2006/relationships/chart" Target="../charts/chart177.xml"/><Relationship Id="rId6" Type="http://schemas.openxmlformats.org/officeDocument/2006/relationships/chart" Target="../charts/chart176.xml"/><Relationship Id="rId5" Type="http://schemas.openxmlformats.org/officeDocument/2006/relationships/chart" Target="../charts/chart175.xml"/><Relationship Id="rId4" Type="http://schemas.openxmlformats.org/officeDocument/2006/relationships/chart" Target="../charts/chart174.xml"/><Relationship Id="rId3" Type="http://schemas.openxmlformats.org/officeDocument/2006/relationships/chart" Target="../charts/chart173.xml"/><Relationship Id="rId20" Type="http://schemas.openxmlformats.org/officeDocument/2006/relationships/chart" Target="../charts/chart190.xml"/><Relationship Id="rId2" Type="http://schemas.openxmlformats.org/officeDocument/2006/relationships/chart" Target="../charts/chart172.xml"/><Relationship Id="rId19" Type="http://schemas.openxmlformats.org/officeDocument/2006/relationships/chart" Target="../charts/chart189.xml"/><Relationship Id="rId18" Type="http://schemas.openxmlformats.org/officeDocument/2006/relationships/chart" Target="../charts/chart188.xml"/><Relationship Id="rId17" Type="http://schemas.openxmlformats.org/officeDocument/2006/relationships/chart" Target="../charts/chart187.xml"/><Relationship Id="rId16" Type="http://schemas.openxmlformats.org/officeDocument/2006/relationships/chart" Target="../charts/chart186.xml"/><Relationship Id="rId15" Type="http://schemas.openxmlformats.org/officeDocument/2006/relationships/chart" Target="../charts/chart185.xml"/><Relationship Id="rId14" Type="http://schemas.openxmlformats.org/officeDocument/2006/relationships/chart" Target="../charts/chart184.xml"/><Relationship Id="rId13" Type="http://schemas.openxmlformats.org/officeDocument/2006/relationships/chart" Target="../charts/chart183.xml"/><Relationship Id="rId12" Type="http://schemas.openxmlformats.org/officeDocument/2006/relationships/chart" Target="../charts/chart182.xml"/><Relationship Id="rId11" Type="http://schemas.openxmlformats.org/officeDocument/2006/relationships/chart" Target="../charts/chart181.xml"/><Relationship Id="rId10" Type="http://schemas.openxmlformats.org/officeDocument/2006/relationships/chart" Target="../charts/chart180.xml"/><Relationship Id="rId1" Type="http://schemas.openxmlformats.org/officeDocument/2006/relationships/chart" Target="../charts/chart171.xml"/></Relationships>
</file>

<file path=xl/drawings/_rels/drawing43.xml.rels><?xml version="1.0" encoding="UTF-8" standalone="yes"?>
<Relationships xmlns="http://schemas.openxmlformats.org/package/2006/relationships"><Relationship Id="rId9" Type="http://schemas.openxmlformats.org/officeDocument/2006/relationships/chart" Target="../charts/chart199.xml"/><Relationship Id="rId8" Type="http://schemas.openxmlformats.org/officeDocument/2006/relationships/chart" Target="../charts/chart198.xml"/><Relationship Id="rId7" Type="http://schemas.openxmlformats.org/officeDocument/2006/relationships/chart" Target="../charts/chart197.xml"/><Relationship Id="rId6" Type="http://schemas.openxmlformats.org/officeDocument/2006/relationships/chart" Target="../charts/chart196.xml"/><Relationship Id="rId5" Type="http://schemas.openxmlformats.org/officeDocument/2006/relationships/chart" Target="../charts/chart195.xml"/><Relationship Id="rId4" Type="http://schemas.openxmlformats.org/officeDocument/2006/relationships/chart" Target="../charts/chart194.xml"/><Relationship Id="rId3" Type="http://schemas.openxmlformats.org/officeDocument/2006/relationships/chart" Target="../charts/chart193.xml"/><Relationship Id="rId2" Type="http://schemas.openxmlformats.org/officeDocument/2006/relationships/chart" Target="../charts/chart192.xml"/><Relationship Id="rId17" Type="http://schemas.openxmlformats.org/officeDocument/2006/relationships/chart" Target="../charts/chart207.xml"/><Relationship Id="rId16" Type="http://schemas.openxmlformats.org/officeDocument/2006/relationships/chart" Target="../charts/chart206.xml"/><Relationship Id="rId15" Type="http://schemas.openxmlformats.org/officeDocument/2006/relationships/chart" Target="../charts/chart205.xml"/><Relationship Id="rId14" Type="http://schemas.openxmlformats.org/officeDocument/2006/relationships/chart" Target="../charts/chart204.xml"/><Relationship Id="rId13" Type="http://schemas.openxmlformats.org/officeDocument/2006/relationships/chart" Target="../charts/chart203.xml"/><Relationship Id="rId12" Type="http://schemas.openxmlformats.org/officeDocument/2006/relationships/chart" Target="../charts/chart202.xml"/><Relationship Id="rId11" Type="http://schemas.openxmlformats.org/officeDocument/2006/relationships/chart" Target="../charts/chart201.xml"/><Relationship Id="rId10" Type="http://schemas.openxmlformats.org/officeDocument/2006/relationships/chart" Target="../charts/chart200.xml"/><Relationship Id="rId1" Type="http://schemas.openxmlformats.org/officeDocument/2006/relationships/chart" Target="../charts/chart191.xml"/></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xdr:col>
      <xdr:colOff>838200</xdr:colOff>
      <xdr:row>0</xdr:row>
      <xdr:rowOff>91440</xdr:rowOff>
    </xdr:from>
    <xdr:to>
      <xdr:col>5</xdr:col>
      <xdr:colOff>409575</xdr:colOff>
      <xdr:row>0</xdr:row>
      <xdr:rowOff>437515</xdr:rowOff>
    </xdr:to>
    <xdr:sp>
      <xdr:nvSpPr>
        <xdr:cNvPr id="190474" name="WordArt 30"/>
        <xdr:cNvSpPr/>
      </xdr:nvSpPr>
      <xdr:spPr>
        <a:xfrm>
          <a:off x="5819775" y="91440"/>
          <a:ext cx="609600" cy="34607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21</xdr:col>
      <xdr:colOff>95250</xdr:colOff>
      <xdr:row>0</xdr:row>
      <xdr:rowOff>229235</xdr:rowOff>
    </xdr:from>
    <xdr:to>
      <xdr:col>23</xdr:col>
      <xdr:colOff>257175</xdr:colOff>
      <xdr:row>0</xdr:row>
      <xdr:rowOff>239395</xdr:rowOff>
    </xdr:to>
    <xdr:sp>
      <xdr:nvSpPr>
        <xdr:cNvPr id="200713" name="WordArt 1"/>
        <xdr:cNvSpPr/>
      </xdr:nvSpPr>
      <xdr:spPr>
        <a:xfrm>
          <a:off x="7038975" y="229235"/>
          <a:ext cx="60960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19</xdr:col>
      <xdr:colOff>19050</xdr:colOff>
      <xdr:row>0</xdr:row>
      <xdr:rowOff>121920</xdr:rowOff>
    </xdr:from>
    <xdr:to>
      <xdr:col>21</xdr:col>
      <xdr:colOff>132715</xdr:colOff>
      <xdr:row>1</xdr:row>
      <xdr:rowOff>142875</xdr:rowOff>
    </xdr:to>
    <xdr:sp>
      <xdr:nvSpPr>
        <xdr:cNvPr id="208905" name="WordArt 1"/>
        <xdr:cNvSpPr/>
      </xdr:nvSpPr>
      <xdr:spPr>
        <a:xfrm>
          <a:off x="6848475" y="121920"/>
          <a:ext cx="608965" cy="39243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10</xdr:row>
      <xdr:rowOff>0</xdr:rowOff>
    </xdr:from>
    <xdr:to>
      <xdr:col>4</xdr:col>
      <xdr:colOff>732790</xdr:colOff>
      <xdr:row>10</xdr:row>
      <xdr:rowOff>9525</xdr:rowOff>
    </xdr:to>
    <xdr:graphicFrame>
      <xdr:nvGraphicFramePr>
        <xdr:cNvPr id="201777" name="Chart 1"/>
        <xdr:cNvGraphicFramePr>
          <a:graphicFrameLocks noChangeAspect="1"/>
        </xdr:cNvGraphicFramePr>
      </xdr:nvGraphicFramePr>
      <xdr:xfrm>
        <a:off x="0" y="2326005"/>
        <a:ext cx="5123815"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10</xdr:row>
      <xdr:rowOff>0</xdr:rowOff>
    </xdr:from>
    <xdr:to>
      <xdr:col>3</xdr:col>
      <xdr:colOff>657860</xdr:colOff>
      <xdr:row>10</xdr:row>
      <xdr:rowOff>9525</xdr:rowOff>
    </xdr:to>
    <xdr:graphicFrame>
      <xdr:nvGraphicFramePr>
        <xdr:cNvPr id="201778" name="Chart 3"/>
        <xdr:cNvGraphicFramePr>
          <a:graphicFrameLocks noChangeAspect="1"/>
        </xdr:cNvGraphicFramePr>
      </xdr:nvGraphicFramePr>
      <xdr:xfrm>
        <a:off x="47625" y="2326005"/>
        <a:ext cx="3648710"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10</xdr:row>
      <xdr:rowOff>0</xdr:rowOff>
    </xdr:from>
    <xdr:to>
      <xdr:col>3</xdr:col>
      <xdr:colOff>657860</xdr:colOff>
      <xdr:row>10</xdr:row>
      <xdr:rowOff>9525</xdr:rowOff>
    </xdr:to>
    <xdr:graphicFrame>
      <xdr:nvGraphicFramePr>
        <xdr:cNvPr id="201779" name="Chart 5"/>
        <xdr:cNvGraphicFramePr>
          <a:graphicFrameLocks noChangeAspect="1"/>
        </xdr:cNvGraphicFramePr>
      </xdr:nvGraphicFramePr>
      <xdr:xfrm>
        <a:off x="47625" y="2326005"/>
        <a:ext cx="3648710"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11</xdr:row>
      <xdr:rowOff>149860</xdr:rowOff>
    </xdr:from>
    <xdr:to>
      <xdr:col>4</xdr:col>
      <xdr:colOff>882015</xdr:colOff>
      <xdr:row>26</xdr:row>
      <xdr:rowOff>80010</xdr:rowOff>
    </xdr:to>
    <xdr:graphicFrame>
      <xdr:nvGraphicFramePr>
        <xdr:cNvPr id="201780" name="Chart 7"/>
        <xdr:cNvGraphicFramePr>
          <a:graphicFrameLocks noChangeAspect="1"/>
        </xdr:cNvGraphicFramePr>
      </xdr:nvGraphicFramePr>
      <xdr:xfrm>
        <a:off x="9525" y="2693035"/>
        <a:ext cx="5263515" cy="31877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27</xdr:row>
      <xdr:rowOff>217170</xdr:rowOff>
    </xdr:from>
    <xdr:to>
      <xdr:col>4</xdr:col>
      <xdr:colOff>1161415</xdr:colOff>
      <xdr:row>40</xdr:row>
      <xdr:rowOff>95250</xdr:rowOff>
    </xdr:to>
    <xdr:graphicFrame>
      <xdr:nvGraphicFramePr>
        <xdr:cNvPr id="201781" name="Chart 8"/>
        <xdr:cNvGraphicFramePr>
          <a:graphicFrameLocks noChangeAspect="1"/>
        </xdr:cNvGraphicFramePr>
      </xdr:nvGraphicFramePr>
      <xdr:xfrm>
        <a:off x="9525" y="6235065"/>
        <a:ext cx="5542915" cy="270129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608965</xdr:colOff>
      <xdr:row>0</xdr:row>
      <xdr:rowOff>159385</xdr:rowOff>
    </xdr:from>
    <xdr:to>
      <xdr:col>4</xdr:col>
      <xdr:colOff>1219200</xdr:colOff>
      <xdr:row>0</xdr:row>
      <xdr:rowOff>182880</xdr:rowOff>
    </xdr:to>
    <xdr:sp>
      <xdr:nvSpPr>
        <xdr:cNvPr id="201782" name="WordArt 9"/>
        <xdr:cNvSpPr/>
      </xdr:nvSpPr>
      <xdr:spPr>
        <a:xfrm>
          <a:off x="4999990" y="159385"/>
          <a:ext cx="610235" cy="234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18</xdr:row>
      <xdr:rowOff>0</xdr:rowOff>
    </xdr:from>
    <xdr:to>
      <xdr:col>4</xdr:col>
      <xdr:colOff>713740</xdr:colOff>
      <xdr:row>35</xdr:row>
      <xdr:rowOff>38100</xdr:rowOff>
    </xdr:to>
    <xdr:graphicFrame>
      <xdr:nvGraphicFramePr>
        <xdr:cNvPr id="202810" name="Chart 1"/>
        <xdr:cNvGraphicFramePr>
          <a:graphicFrameLocks noChangeAspect="1"/>
        </xdr:cNvGraphicFramePr>
      </xdr:nvGraphicFramePr>
      <xdr:xfrm>
        <a:off x="0" y="3448050"/>
        <a:ext cx="5152390" cy="311467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18</xdr:row>
      <xdr:rowOff>0</xdr:rowOff>
    </xdr:from>
    <xdr:to>
      <xdr:col>10</xdr:col>
      <xdr:colOff>446405</xdr:colOff>
      <xdr:row>35</xdr:row>
      <xdr:rowOff>28575</xdr:rowOff>
    </xdr:to>
    <xdr:graphicFrame>
      <xdr:nvGraphicFramePr>
        <xdr:cNvPr id="202811" name="Chart 2"/>
        <xdr:cNvGraphicFramePr>
          <a:graphicFrameLocks noChangeAspect="1"/>
        </xdr:cNvGraphicFramePr>
      </xdr:nvGraphicFramePr>
      <xdr:xfrm>
        <a:off x="5543550" y="3448050"/>
        <a:ext cx="3818255" cy="310515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42</xdr:row>
      <xdr:rowOff>19050</xdr:rowOff>
    </xdr:from>
    <xdr:to>
      <xdr:col>3</xdr:col>
      <xdr:colOff>655955</xdr:colOff>
      <xdr:row>54</xdr:row>
      <xdr:rowOff>47625</xdr:rowOff>
    </xdr:to>
    <xdr:graphicFrame>
      <xdr:nvGraphicFramePr>
        <xdr:cNvPr id="202812" name="Chart 3"/>
        <xdr:cNvGraphicFramePr>
          <a:graphicFrameLocks noChangeAspect="1"/>
        </xdr:cNvGraphicFramePr>
      </xdr:nvGraphicFramePr>
      <xdr:xfrm>
        <a:off x="47625" y="7810500"/>
        <a:ext cx="3932555" cy="220027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42</xdr:row>
      <xdr:rowOff>0</xdr:rowOff>
    </xdr:from>
    <xdr:to>
      <xdr:col>10</xdr:col>
      <xdr:colOff>348615</xdr:colOff>
      <xdr:row>54</xdr:row>
      <xdr:rowOff>47625</xdr:rowOff>
    </xdr:to>
    <xdr:graphicFrame>
      <xdr:nvGraphicFramePr>
        <xdr:cNvPr id="202813" name="Chart 4"/>
        <xdr:cNvGraphicFramePr>
          <a:graphicFrameLocks noChangeAspect="1"/>
        </xdr:cNvGraphicFramePr>
      </xdr:nvGraphicFramePr>
      <xdr:xfrm>
        <a:off x="5438775" y="7791450"/>
        <a:ext cx="3825240" cy="22193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59</xdr:row>
      <xdr:rowOff>19050</xdr:rowOff>
    </xdr:from>
    <xdr:to>
      <xdr:col>3</xdr:col>
      <xdr:colOff>655955</xdr:colOff>
      <xdr:row>71</xdr:row>
      <xdr:rowOff>47625</xdr:rowOff>
    </xdr:to>
    <xdr:graphicFrame>
      <xdr:nvGraphicFramePr>
        <xdr:cNvPr id="202814" name="Chart 5"/>
        <xdr:cNvGraphicFramePr>
          <a:graphicFrameLocks noChangeAspect="1"/>
        </xdr:cNvGraphicFramePr>
      </xdr:nvGraphicFramePr>
      <xdr:xfrm>
        <a:off x="47625" y="10887075"/>
        <a:ext cx="3932555" cy="220027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59</xdr:row>
      <xdr:rowOff>0</xdr:rowOff>
    </xdr:from>
    <xdr:to>
      <xdr:col>10</xdr:col>
      <xdr:colOff>348615</xdr:colOff>
      <xdr:row>71</xdr:row>
      <xdr:rowOff>47625</xdr:rowOff>
    </xdr:to>
    <xdr:graphicFrame>
      <xdr:nvGraphicFramePr>
        <xdr:cNvPr id="202815" name="Chart 6"/>
        <xdr:cNvGraphicFramePr>
          <a:graphicFrameLocks noChangeAspect="1"/>
        </xdr:cNvGraphicFramePr>
      </xdr:nvGraphicFramePr>
      <xdr:xfrm>
        <a:off x="5438775" y="10868025"/>
        <a:ext cx="3825240" cy="22193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161925</xdr:colOff>
      <xdr:row>0</xdr:row>
      <xdr:rowOff>111760</xdr:rowOff>
    </xdr:from>
    <xdr:to>
      <xdr:col>9</xdr:col>
      <xdr:colOff>247650</xdr:colOff>
      <xdr:row>0</xdr:row>
      <xdr:rowOff>133350</xdr:rowOff>
    </xdr:to>
    <xdr:sp>
      <xdr:nvSpPr>
        <xdr:cNvPr id="202816" name="WordArt 7"/>
        <xdr:cNvSpPr/>
      </xdr:nvSpPr>
      <xdr:spPr>
        <a:xfrm>
          <a:off x="7867650" y="111760"/>
          <a:ext cx="609600" cy="2159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xdr:from>
      <xdr:col>3</xdr:col>
      <xdr:colOff>1124585</xdr:colOff>
      <xdr:row>0</xdr:row>
      <xdr:rowOff>281940</xdr:rowOff>
    </xdr:from>
    <xdr:to>
      <xdr:col>4</xdr:col>
      <xdr:colOff>542290</xdr:colOff>
      <xdr:row>0</xdr:row>
      <xdr:rowOff>292100</xdr:rowOff>
    </xdr:to>
    <xdr:sp>
      <xdr:nvSpPr>
        <xdr:cNvPr id="203785" name="WordArt 1"/>
        <xdr:cNvSpPr/>
      </xdr:nvSpPr>
      <xdr:spPr>
        <a:xfrm>
          <a:off x="5772785" y="281940"/>
          <a:ext cx="74168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5.xml><?xml version="1.0" encoding="utf-8"?>
<xdr:wsDr xmlns:xdr="http://schemas.openxmlformats.org/drawingml/2006/spreadsheetDrawing" xmlns:r="http://schemas.openxmlformats.org/officeDocument/2006/relationships" xmlns:a="http://schemas.openxmlformats.org/drawingml/2006/main">
  <xdr:twoCellAnchor>
    <xdr:from>
      <xdr:col>4</xdr:col>
      <xdr:colOff>713740</xdr:colOff>
      <xdr:row>0</xdr:row>
      <xdr:rowOff>141605</xdr:rowOff>
    </xdr:from>
    <xdr:to>
      <xdr:col>5</xdr:col>
      <xdr:colOff>361950</xdr:colOff>
      <xdr:row>0</xdr:row>
      <xdr:rowOff>151130</xdr:rowOff>
    </xdr:to>
    <xdr:sp>
      <xdr:nvSpPr>
        <xdr:cNvPr id="204809" name="WordArt 1"/>
        <xdr:cNvSpPr/>
      </xdr:nvSpPr>
      <xdr:spPr>
        <a:xfrm>
          <a:off x="5914390" y="141605"/>
          <a:ext cx="610235" cy="952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6.xml><?xml version="1.0" encoding="utf-8"?>
<xdr:wsDr xmlns:xdr="http://schemas.openxmlformats.org/drawingml/2006/spreadsheetDrawing" xmlns:r="http://schemas.openxmlformats.org/officeDocument/2006/relationships" xmlns:a="http://schemas.openxmlformats.org/drawingml/2006/main">
  <xdr:twoCellAnchor>
    <xdr:from>
      <xdr:col>2</xdr:col>
      <xdr:colOff>524510</xdr:colOff>
      <xdr:row>0</xdr:row>
      <xdr:rowOff>151765</xdr:rowOff>
    </xdr:from>
    <xdr:to>
      <xdr:col>2</xdr:col>
      <xdr:colOff>1134110</xdr:colOff>
      <xdr:row>0</xdr:row>
      <xdr:rowOff>160655</xdr:rowOff>
    </xdr:to>
    <xdr:sp>
      <xdr:nvSpPr>
        <xdr:cNvPr id="205841" name="WordArt 1"/>
        <xdr:cNvSpPr/>
      </xdr:nvSpPr>
      <xdr:spPr>
        <a:xfrm>
          <a:off x="5820410" y="151765"/>
          <a:ext cx="609600" cy="889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2</xdr:col>
      <xdr:colOff>524510</xdr:colOff>
      <xdr:row>0</xdr:row>
      <xdr:rowOff>151765</xdr:rowOff>
    </xdr:from>
    <xdr:to>
      <xdr:col>2</xdr:col>
      <xdr:colOff>1134110</xdr:colOff>
      <xdr:row>0</xdr:row>
      <xdr:rowOff>161925</xdr:rowOff>
    </xdr:to>
    <xdr:sp>
      <xdr:nvSpPr>
        <xdr:cNvPr id="205842" name="WordArt 1"/>
        <xdr:cNvSpPr/>
      </xdr:nvSpPr>
      <xdr:spPr>
        <a:xfrm>
          <a:off x="5820410" y="151765"/>
          <a:ext cx="60960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7.xml><?xml version="1.0" encoding="utf-8"?>
<xdr:wsDr xmlns:xdr="http://schemas.openxmlformats.org/drawingml/2006/spreadsheetDrawing" xmlns:r="http://schemas.openxmlformats.org/officeDocument/2006/relationships" xmlns:a="http://schemas.openxmlformats.org/drawingml/2006/main">
  <xdr:twoCellAnchor>
    <xdr:from>
      <xdr:col>2</xdr:col>
      <xdr:colOff>580390</xdr:colOff>
      <xdr:row>0</xdr:row>
      <xdr:rowOff>168275</xdr:rowOff>
    </xdr:from>
    <xdr:to>
      <xdr:col>2</xdr:col>
      <xdr:colOff>1189355</xdr:colOff>
      <xdr:row>0</xdr:row>
      <xdr:rowOff>177165</xdr:rowOff>
    </xdr:to>
    <xdr:sp>
      <xdr:nvSpPr>
        <xdr:cNvPr id="206857" name="WordArt 1"/>
        <xdr:cNvSpPr/>
      </xdr:nvSpPr>
      <xdr:spPr>
        <a:xfrm>
          <a:off x="6466840" y="168275"/>
          <a:ext cx="608965" cy="889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8.xml><?xml version="1.0" encoding="utf-8"?>
<xdr:wsDr xmlns:xdr="http://schemas.openxmlformats.org/drawingml/2006/spreadsheetDrawing" xmlns:r="http://schemas.openxmlformats.org/officeDocument/2006/relationships" xmlns:a="http://schemas.openxmlformats.org/drawingml/2006/main">
  <xdr:twoCellAnchor>
    <xdr:from>
      <xdr:col>3</xdr:col>
      <xdr:colOff>1190625</xdr:colOff>
      <xdr:row>0</xdr:row>
      <xdr:rowOff>223520</xdr:rowOff>
    </xdr:from>
    <xdr:to>
      <xdr:col>4</xdr:col>
      <xdr:colOff>608965</xdr:colOff>
      <xdr:row>0</xdr:row>
      <xdr:rowOff>246380</xdr:rowOff>
    </xdr:to>
    <xdr:sp>
      <xdr:nvSpPr>
        <xdr:cNvPr id="207881" name="WordArt 1"/>
        <xdr:cNvSpPr/>
      </xdr:nvSpPr>
      <xdr:spPr>
        <a:xfrm>
          <a:off x="5467350" y="223520"/>
          <a:ext cx="608965" cy="228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19.xml><?xml version="1.0" encoding="utf-8"?>
<xdr:wsDr xmlns:xdr="http://schemas.openxmlformats.org/drawingml/2006/spreadsheetDrawing" xmlns:r="http://schemas.openxmlformats.org/officeDocument/2006/relationships" xmlns:a="http://schemas.openxmlformats.org/drawingml/2006/main">
  <xdr:twoCellAnchor>
    <xdr:from>
      <xdr:col>4</xdr:col>
      <xdr:colOff>885825</xdr:colOff>
      <xdr:row>0</xdr:row>
      <xdr:rowOff>141605</xdr:rowOff>
    </xdr:from>
    <xdr:to>
      <xdr:col>5</xdr:col>
      <xdr:colOff>533400</xdr:colOff>
      <xdr:row>0</xdr:row>
      <xdr:rowOff>151130</xdr:rowOff>
    </xdr:to>
    <xdr:sp>
      <xdr:nvSpPr>
        <xdr:cNvPr id="209937" name="WordArt 1"/>
        <xdr:cNvSpPr/>
      </xdr:nvSpPr>
      <xdr:spPr>
        <a:xfrm>
          <a:off x="6153150" y="141605"/>
          <a:ext cx="609600" cy="952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4</xdr:col>
      <xdr:colOff>885825</xdr:colOff>
      <xdr:row>0</xdr:row>
      <xdr:rowOff>143510</xdr:rowOff>
    </xdr:from>
    <xdr:to>
      <xdr:col>5</xdr:col>
      <xdr:colOff>533400</xdr:colOff>
      <xdr:row>0</xdr:row>
      <xdr:rowOff>153035</xdr:rowOff>
    </xdr:to>
    <xdr:sp>
      <xdr:nvSpPr>
        <xdr:cNvPr id="209938" name="WordArt 1"/>
        <xdr:cNvSpPr/>
      </xdr:nvSpPr>
      <xdr:spPr>
        <a:xfrm>
          <a:off x="6153150" y="143510"/>
          <a:ext cx="609600" cy="952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5</xdr:col>
      <xdr:colOff>627380</xdr:colOff>
      <xdr:row>0</xdr:row>
      <xdr:rowOff>193040</xdr:rowOff>
    </xdr:from>
    <xdr:to>
      <xdr:col>6</xdr:col>
      <xdr:colOff>387985</xdr:colOff>
      <xdr:row>0</xdr:row>
      <xdr:rowOff>202565</xdr:rowOff>
    </xdr:to>
    <xdr:sp>
      <xdr:nvSpPr>
        <xdr:cNvPr id="191497" name="WordArt 1"/>
        <xdr:cNvSpPr/>
      </xdr:nvSpPr>
      <xdr:spPr>
        <a:xfrm>
          <a:off x="6818630" y="193040"/>
          <a:ext cx="998855" cy="952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0.xml><?xml version="1.0" encoding="utf-8"?>
<xdr:wsDr xmlns:xdr="http://schemas.openxmlformats.org/drawingml/2006/spreadsheetDrawing" xmlns:r="http://schemas.openxmlformats.org/officeDocument/2006/relationships" xmlns:a="http://schemas.openxmlformats.org/drawingml/2006/main">
  <xdr:twoCellAnchor>
    <xdr:from>
      <xdr:col>2</xdr:col>
      <xdr:colOff>695960</xdr:colOff>
      <xdr:row>0</xdr:row>
      <xdr:rowOff>217170</xdr:rowOff>
    </xdr:from>
    <xdr:to>
      <xdr:col>2</xdr:col>
      <xdr:colOff>1302385</xdr:colOff>
      <xdr:row>0</xdr:row>
      <xdr:rowOff>226060</xdr:rowOff>
    </xdr:to>
    <xdr:sp>
      <xdr:nvSpPr>
        <xdr:cNvPr id="210953" name="WordArt 1"/>
        <xdr:cNvSpPr/>
      </xdr:nvSpPr>
      <xdr:spPr>
        <a:xfrm>
          <a:off x="6296660" y="217170"/>
          <a:ext cx="606425" cy="889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1.xml><?xml version="1.0" encoding="utf-8"?>
<xdr:wsDr xmlns:xdr="http://schemas.openxmlformats.org/drawingml/2006/spreadsheetDrawing" xmlns:r="http://schemas.openxmlformats.org/officeDocument/2006/relationships" xmlns:a="http://schemas.openxmlformats.org/drawingml/2006/main">
  <xdr:twoCellAnchor>
    <xdr:from>
      <xdr:col>13</xdr:col>
      <xdr:colOff>247650</xdr:colOff>
      <xdr:row>0</xdr:row>
      <xdr:rowOff>123190</xdr:rowOff>
    </xdr:from>
    <xdr:to>
      <xdr:col>14</xdr:col>
      <xdr:colOff>428625</xdr:colOff>
      <xdr:row>1</xdr:row>
      <xdr:rowOff>142875</xdr:rowOff>
    </xdr:to>
    <xdr:sp>
      <xdr:nvSpPr>
        <xdr:cNvPr id="211977" name="WordArt 3"/>
        <xdr:cNvSpPr/>
      </xdr:nvSpPr>
      <xdr:spPr>
        <a:xfrm>
          <a:off x="11296650" y="123190"/>
          <a:ext cx="638175" cy="391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2.xml><?xml version="1.0" encoding="utf-8"?>
<xdr:wsDr xmlns:xdr="http://schemas.openxmlformats.org/drawingml/2006/spreadsheetDrawing" xmlns:r="http://schemas.openxmlformats.org/officeDocument/2006/relationships" xmlns:a="http://schemas.openxmlformats.org/drawingml/2006/main">
  <xdr:twoCellAnchor>
    <xdr:from>
      <xdr:col>15</xdr:col>
      <xdr:colOff>300990</xdr:colOff>
      <xdr:row>0</xdr:row>
      <xdr:rowOff>160020</xdr:rowOff>
    </xdr:from>
    <xdr:to>
      <xdr:col>16</xdr:col>
      <xdr:colOff>247650</xdr:colOff>
      <xdr:row>1</xdr:row>
      <xdr:rowOff>146685</xdr:rowOff>
    </xdr:to>
    <xdr:sp>
      <xdr:nvSpPr>
        <xdr:cNvPr id="213002" name="WordArt 2"/>
        <xdr:cNvSpPr/>
      </xdr:nvSpPr>
      <xdr:spPr>
        <a:xfrm>
          <a:off x="11673840" y="160020"/>
          <a:ext cx="632460" cy="34861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3.xml><?xml version="1.0" encoding="utf-8"?>
<xdr:wsDr xmlns:xdr="http://schemas.openxmlformats.org/drawingml/2006/spreadsheetDrawing" xmlns:r="http://schemas.openxmlformats.org/officeDocument/2006/relationships" xmlns:a="http://schemas.openxmlformats.org/drawingml/2006/main">
  <xdr:twoCellAnchor>
    <xdr:from>
      <xdr:col>3</xdr:col>
      <xdr:colOff>1258570</xdr:colOff>
      <xdr:row>0</xdr:row>
      <xdr:rowOff>57150</xdr:rowOff>
    </xdr:from>
    <xdr:to>
      <xdr:col>4</xdr:col>
      <xdr:colOff>457835</xdr:colOff>
      <xdr:row>1</xdr:row>
      <xdr:rowOff>76200</xdr:rowOff>
    </xdr:to>
    <xdr:sp>
      <xdr:nvSpPr>
        <xdr:cNvPr id="214025" name="WordArt 21"/>
        <xdr:cNvSpPr/>
      </xdr:nvSpPr>
      <xdr:spPr>
        <a:xfrm>
          <a:off x="6687820" y="57150"/>
          <a:ext cx="1009015" cy="37401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4.xml><?xml version="1.0" encoding="utf-8"?>
<xdr:wsDr xmlns:xdr="http://schemas.openxmlformats.org/drawingml/2006/spreadsheetDrawing" xmlns:r="http://schemas.openxmlformats.org/officeDocument/2006/relationships" xmlns:a="http://schemas.openxmlformats.org/drawingml/2006/main">
  <xdr:twoCellAnchor>
    <xdr:from>
      <xdr:col>3</xdr:col>
      <xdr:colOff>609600</xdr:colOff>
      <xdr:row>19</xdr:row>
      <xdr:rowOff>85090</xdr:rowOff>
    </xdr:from>
    <xdr:to>
      <xdr:col>5</xdr:col>
      <xdr:colOff>3148965</xdr:colOff>
      <xdr:row>32</xdr:row>
      <xdr:rowOff>64135</xdr:rowOff>
    </xdr:to>
    <xdr:sp>
      <xdr:nvSpPr>
        <xdr:cNvPr id="2" name="Rectangle 1"/>
        <xdr:cNvSpPr/>
      </xdr:nvSpPr>
      <xdr:spPr>
        <a:xfrm>
          <a:off x="3952875" y="4693285"/>
          <a:ext cx="4768215" cy="2827020"/>
        </a:xfrm>
        <a:prstGeom prst="rect">
          <a:avLst/>
        </a:prstGeom>
        <a:solidFill>
          <a:srgbClr val="CCFFFF">
            <a:alpha val="100000"/>
          </a:srgbClr>
        </a:solidFill>
        <a:ln w="9525" cap="flat" cmpd="sng">
          <a:solidFill>
            <a:srgbClr val="FFFFFF"/>
          </a:solidFill>
          <a:prstDash val="solid"/>
          <a:miter/>
          <a:headEnd type="none" w="med" len="med"/>
          <a:tailEnd type="none" w="med" len="med"/>
        </a:ln>
      </xdr:spPr>
      <xdr:txBody>
        <a:bodyPr vertOverflow="clip" vert="horz" wrap="square" lIns="27432" tIns="18288" rIns="0" bIns="0" anchor="t" anchorCtr="0" upright="1"/>
        <a:lstStyle/>
        <a:p>
          <a:pPr algn="l" rtl="0"/>
          <a:r>
            <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调整时把部分误差金额归到报表本身的不确定因素（如其他应付款）中，具体做法是：</a:t>
          </a:r>
          <a:endPar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a:p>
          <a:pPr algn="l" rtl="0"/>
          <a:r>
            <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1.用逐步测试法调整财务报表。</a:t>
          </a:r>
          <a:endPar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a:p>
          <a:pPr algn="l" rtl="0"/>
          <a:r>
            <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2.财务管理人员通过改变计划条件和特定的财力政策，即可得到不同假设条件和不同政策产生的结果，从而选择最合理、最优的财务计划。</a:t>
          </a:r>
          <a:endPar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a:p>
          <a:pPr algn="l" rtl="0"/>
          <a:r>
            <a:rPr lang="zh-CN" altLang="en-US" sz="1800" b="1">
              <a:solidFill>
                <a:srgbClr val="FF66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注意：本模型仅为简化模型。财务报表中的不确定因素有很多，如流动资产中现金可能并不随着销售量的增加而成比例的增加。</a:t>
          </a:r>
          <a:endParaRPr lang="zh-CN" altLang="en-US" sz="12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a:p>
          <a:pPr algn="l" rtl="0"/>
          <a:endParaRPr lang="zh-CN" altLang="en-US" sz="12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a:p>
          <a:pPr algn="l" rtl="0"/>
          <a:endParaRPr lang="zh-CN" altLang="en-US" sz="12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drawings/drawing25.xml><?xml version="1.0" encoding="utf-8"?>
<xdr:wsDr xmlns:xdr="http://schemas.openxmlformats.org/drawingml/2006/spreadsheetDrawing" xmlns:r="http://schemas.openxmlformats.org/officeDocument/2006/relationships" xmlns:a="http://schemas.openxmlformats.org/drawingml/2006/main">
  <xdr:twoCellAnchor>
    <xdr:from>
      <xdr:col>2</xdr:col>
      <xdr:colOff>1818005</xdr:colOff>
      <xdr:row>1</xdr:row>
      <xdr:rowOff>207010</xdr:rowOff>
    </xdr:from>
    <xdr:to>
      <xdr:col>4</xdr:col>
      <xdr:colOff>1779270</xdr:colOff>
      <xdr:row>16</xdr:row>
      <xdr:rowOff>176530</xdr:rowOff>
    </xdr:to>
    <xdr:grpSp>
      <xdr:nvGrpSpPr>
        <xdr:cNvPr id="217107" name="Group 1"/>
        <xdr:cNvGrpSpPr/>
      </xdr:nvGrpSpPr>
      <xdr:grpSpPr>
        <a:xfrm>
          <a:off x="5456555" y="578485"/>
          <a:ext cx="3599815" cy="3112770"/>
          <a:chOff x="0" y="0"/>
          <a:chExt cx="273" cy="381"/>
        </a:xfrm>
      </xdr:grpSpPr>
      <xdr:sp>
        <xdr:nvSpPr>
          <xdr:cNvPr id="2" name="文字 1"/>
          <xdr:cNvSpPr/>
        </xdr:nvSpPr>
        <xdr:spPr>
          <a:xfrm>
            <a:off x="0" y="0"/>
            <a:ext cx="273" cy="381"/>
          </a:xfrm>
          <a:prstGeom prst="roundRect">
            <a:avLst>
              <a:gd name="adj" fmla="val 0"/>
            </a:avLst>
          </a:prstGeom>
          <a:gradFill rotWithShape="0">
            <a:gsLst>
              <a:gs pos="0">
                <a:srgbClr val="C26161">
                  <a:gamma/>
                  <a:shade val="76078"/>
                  <a:invGamma/>
                </a:srgbClr>
              </a:gs>
              <a:gs pos="100000">
                <a:srgbClr val="FF8080">
                  <a:alpha val="100000"/>
                </a:srgbClr>
              </a:gs>
            </a:gsLst>
            <a:lin ang="2700000" scaled="1"/>
            <a:tileRect/>
          </a:gradFill>
          <a:ln w="9525" cap="flat" cmpd="sng">
            <a:solidFill>
              <a:srgbClr val="000000"/>
            </a:solidFill>
            <a:prstDash val="solid"/>
            <a:headEnd type="none" w="med" len="med"/>
            <a:tailEnd type="none" w="med" len="med"/>
          </a:ln>
          <a:effectLst>
            <a:outerShdw dist="35921" dir="2699999" algn="ctr" rotWithShape="0">
              <a:srgbClr val="000000"/>
            </a:outerShdw>
          </a:effectLst>
        </xdr:spPr>
        <xdr:txBody>
          <a:bodyPr vertOverflow="clip" vert="horz" wrap="square" lIns="27432" tIns="18288" rIns="0" bIns="0" anchor="t" anchorCtr="0" upright="1"/>
          <a:lstStyle/>
          <a:p>
            <a:pPr algn="l" rtl="0"/>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D =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年需求量</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k =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一次订货的固定订货成本</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h =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一件商品保存一年的储存</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成本</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Q =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订货量</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年订货成本</a:t>
            </a:r>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 kD/Q</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年储存成本</a:t>
            </a:r>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 Qh/2</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a:p>
            <a:pPr algn="l" rtl="0"/>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    </a:t>
            </a:r>
            <a:r>
              <a:rPr lang="zh-CN" altLang="en-US" sz="1000" b="1">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经济订货量</a:t>
            </a:r>
            <a:r>
              <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rPr>
              <a:t>:</a:t>
            </a:r>
            <a:endParaRPr lang="zh-CN" altLang="en-US" sz="1000" b="1">
              <a:solidFill>
                <a:srgbClr val="000000"/>
              </a:solidFill>
              <a:latin typeface="Arial" panose="020B0604020202020204" pitchFamily="7" charset="0"/>
              <a:ea typeface="Arial" panose="020B0604020202020204" pitchFamily="7" charset="0"/>
              <a:cs typeface="Arial" panose="020B0604020202020204" pitchFamily="7" charset="0"/>
              <a:sym typeface="Arial" panose="020B0604020202020204" pitchFamily="7" charset="0"/>
            </a:endParaRPr>
          </a:p>
        </xdr:txBody>
      </xdr:sp>
    </xdr:grpSp>
    <xdr:clientData/>
  </xdr:twoCellAnchor>
  <mc:AlternateContent xmlns:mc="http://schemas.openxmlformats.org/markup-compatibility/2006">
    <mc:Choice xmlns:a14="http://schemas.microsoft.com/office/drawing/2010/main" Requires="a14">
      <xdr:twoCellAnchor>
        <xdr:from>
          <xdr:col>3</xdr:col>
          <xdr:colOff>572135</xdr:colOff>
          <xdr:row>12</xdr:row>
          <xdr:rowOff>88900</xdr:rowOff>
        </xdr:from>
        <xdr:to>
          <xdr:col>4</xdr:col>
          <xdr:colOff>921385</xdr:colOff>
          <xdr:row>15</xdr:row>
          <xdr:rowOff>118745</xdr:rowOff>
        </xdr:to>
        <xdr:sp>
          <xdr:nvSpPr>
            <xdr:cNvPr id="217089" name="Picture 3" hidden="1">
              <a:extLst>
                <a:ext uri="{63B3BB69-23CF-44E3-9099-C40C66FF867C}">
                  <a14:compatExt spid="_x0000_s217089"/>
                </a:ext>
              </a:extLst>
            </xdr:cNvPr>
            <xdr:cNvSpPr/>
          </xdr:nvSpPr>
          <xdr:spPr>
            <a:xfrm>
              <a:off x="6029960" y="2765425"/>
              <a:ext cx="2168525" cy="658495"/>
            </a:xfrm>
            <a:prstGeom prst="rect">
              <a:avLst/>
            </a:prstGeom>
          </xdr:spPr>
        </xdr:sp>
        <xdr:clientData/>
      </xdr:twoCellAnchor>
    </mc:Choice>
    <mc:Fallback/>
  </mc:AlternateContent>
</xdr:wsDr>
</file>

<file path=xl/drawings/drawing26.xml><?xml version="1.0" encoding="utf-8"?>
<xdr:wsDr xmlns:xdr="http://schemas.openxmlformats.org/drawingml/2006/spreadsheetDrawing" xmlns:r="http://schemas.openxmlformats.org/officeDocument/2006/relationships" xmlns:a="http://schemas.openxmlformats.org/drawingml/2006/main">
  <xdr:twoCellAnchor>
    <xdr:from>
      <xdr:col>3</xdr:col>
      <xdr:colOff>1132205</xdr:colOff>
      <xdr:row>0</xdr:row>
      <xdr:rowOff>201295</xdr:rowOff>
    </xdr:from>
    <xdr:to>
      <xdr:col>4</xdr:col>
      <xdr:colOff>409575</xdr:colOff>
      <xdr:row>1</xdr:row>
      <xdr:rowOff>173355</xdr:rowOff>
    </xdr:to>
    <xdr:sp>
      <xdr:nvSpPr>
        <xdr:cNvPr id="220169" name="WordArt 5">
          <a:hlinkClick xmlns:r="http://schemas.openxmlformats.org/officeDocument/2006/relationships" r:id="rId1"/>
        </xdr:cNvPr>
        <xdr:cNvSpPr/>
      </xdr:nvSpPr>
      <xdr:spPr>
        <a:xfrm>
          <a:off x="5085080" y="201295"/>
          <a:ext cx="467995" cy="29591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r>
            <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rPr>
            <a:t>返回</a:t>
          </a: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27.xml><?xml version="1.0" encoding="utf-8"?>
<xdr:wsDr xmlns:xdr="http://schemas.openxmlformats.org/drawingml/2006/spreadsheetDrawing" xmlns:r="http://schemas.openxmlformats.org/officeDocument/2006/relationships" xmlns:a="http://schemas.openxmlformats.org/drawingml/2006/main">
  <xdr:twoCellAnchor>
    <xdr:from>
      <xdr:col>9</xdr:col>
      <xdr:colOff>218440</xdr:colOff>
      <xdr:row>1</xdr:row>
      <xdr:rowOff>38100</xdr:rowOff>
    </xdr:from>
    <xdr:to>
      <xdr:col>9</xdr:col>
      <xdr:colOff>685165</xdr:colOff>
      <xdr:row>2</xdr:row>
      <xdr:rowOff>123825</xdr:rowOff>
    </xdr:to>
    <xdr:sp>
      <xdr:nvSpPr>
        <xdr:cNvPr id="221193" name="WordArt 16">
          <a:hlinkClick xmlns:r="http://schemas.openxmlformats.org/officeDocument/2006/relationships" r:id="rId1"/>
        </xdr:cNvPr>
        <xdr:cNvSpPr/>
      </xdr:nvSpPr>
      <xdr:spPr>
        <a:xfrm>
          <a:off x="8419465" y="228600"/>
          <a:ext cx="466725" cy="26670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r>
            <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rPr>
            <a:t>返回</a:t>
          </a: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6985</xdr:colOff>
          <xdr:row>6</xdr:row>
          <xdr:rowOff>22225</xdr:rowOff>
        </xdr:from>
        <xdr:to>
          <xdr:col>9</xdr:col>
          <xdr:colOff>914400</xdr:colOff>
          <xdr:row>7</xdr:row>
          <xdr:rowOff>59055</xdr:rowOff>
        </xdr:to>
        <xdr:sp>
          <xdr:nvSpPr>
            <xdr:cNvPr id="221185" name="滚动条 75" hidden="1">
              <a:extLst>
                <a:ext uri="{63B3BB69-23CF-44E3-9099-C40C66FF867C}">
                  <a14:compatExt spid="_x0000_s221185"/>
                </a:ext>
              </a:extLst>
            </xdr:cNvPr>
            <xdr:cNvSpPr/>
          </xdr:nvSpPr>
          <xdr:spPr>
            <a:xfrm>
              <a:off x="8208010" y="1117600"/>
              <a:ext cx="907415" cy="217805"/>
            </a:xfrm>
            <a:prstGeom prst="rect">
              <a:avLst/>
            </a:prstGeom>
          </xdr:spPr>
        </xdr:sp>
        <xdr:clientData/>
      </xdr:twoCellAnchor>
    </mc:Choice>
    <mc:Fallback/>
  </mc:AlternateContent>
</xdr:wsDr>
</file>

<file path=xl/drawings/drawing28.xml><?xml version="1.0" encoding="utf-8"?>
<xdr:wsDr xmlns:xdr="http://schemas.openxmlformats.org/drawingml/2006/spreadsheetDrawing" xmlns:r="http://schemas.openxmlformats.org/officeDocument/2006/relationships" xmlns:a="http://schemas.openxmlformats.org/drawingml/2006/main">
  <xdr:twoCellAnchor>
    <xdr:from>
      <xdr:col>9</xdr:col>
      <xdr:colOff>218440</xdr:colOff>
      <xdr:row>1</xdr:row>
      <xdr:rowOff>38100</xdr:rowOff>
    </xdr:from>
    <xdr:to>
      <xdr:col>9</xdr:col>
      <xdr:colOff>685800</xdr:colOff>
      <xdr:row>2</xdr:row>
      <xdr:rowOff>123825</xdr:rowOff>
    </xdr:to>
    <xdr:sp>
      <xdr:nvSpPr>
        <xdr:cNvPr id="222225" name="WordArt 16">
          <a:hlinkClick xmlns:r="http://schemas.openxmlformats.org/officeDocument/2006/relationships" r:id="rId1"/>
        </xdr:cNvPr>
        <xdr:cNvSpPr/>
      </xdr:nvSpPr>
      <xdr:spPr>
        <a:xfrm>
          <a:off x="8419465" y="293370"/>
          <a:ext cx="467360" cy="3409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r>
            <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rPr>
            <a:t>返回</a:t>
          </a: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9</xdr:col>
      <xdr:colOff>218440</xdr:colOff>
      <xdr:row>1</xdr:row>
      <xdr:rowOff>38100</xdr:rowOff>
    </xdr:from>
    <xdr:to>
      <xdr:col>9</xdr:col>
      <xdr:colOff>685800</xdr:colOff>
      <xdr:row>2</xdr:row>
      <xdr:rowOff>123825</xdr:rowOff>
    </xdr:to>
    <xdr:sp>
      <xdr:nvSpPr>
        <xdr:cNvPr id="222226" name="WordArt 16">
          <a:hlinkClick xmlns:r="http://schemas.openxmlformats.org/officeDocument/2006/relationships" r:id="rId1"/>
        </xdr:cNvPr>
        <xdr:cNvSpPr/>
      </xdr:nvSpPr>
      <xdr:spPr>
        <a:xfrm>
          <a:off x="8419465" y="293370"/>
          <a:ext cx="467360" cy="3409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r>
            <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rPr>
            <a:t>返回</a:t>
          </a: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6985</xdr:colOff>
          <xdr:row>6</xdr:row>
          <xdr:rowOff>22225</xdr:rowOff>
        </xdr:from>
        <xdr:to>
          <xdr:col>9</xdr:col>
          <xdr:colOff>921385</xdr:colOff>
          <xdr:row>7</xdr:row>
          <xdr:rowOff>6985</xdr:rowOff>
        </xdr:to>
        <xdr:sp>
          <xdr:nvSpPr>
            <xdr:cNvPr id="222209" name="滚动条 75" hidden="1">
              <a:extLst>
                <a:ext uri="{63B3BB69-23CF-44E3-9099-C40C66FF867C}">
                  <a14:compatExt spid="_x0000_s222209"/>
                </a:ext>
              </a:extLst>
            </xdr:cNvPr>
            <xdr:cNvSpPr/>
          </xdr:nvSpPr>
          <xdr:spPr>
            <a:xfrm>
              <a:off x="8208010" y="1553845"/>
              <a:ext cx="914400" cy="24003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6985</xdr:colOff>
          <xdr:row>6</xdr:row>
          <xdr:rowOff>22225</xdr:rowOff>
        </xdr:from>
        <xdr:to>
          <xdr:col>9</xdr:col>
          <xdr:colOff>921385</xdr:colOff>
          <xdr:row>7</xdr:row>
          <xdr:rowOff>6985</xdr:rowOff>
        </xdr:to>
        <xdr:sp>
          <xdr:nvSpPr>
            <xdr:cNvPr id="222210" name="Scroll Bar 2" hidden="1">
              <a:extLst>
                <a:ext uri="{63B3BB69-23CF-44E3-9099-C40C66FF867C}">
                  <a14:compatExt spid="_x0000_s222210"/>
                </a:ext>
              </a:extLst>
            </xdr:cNvPr>
            <xdr:cNvSpPr/>
          </xdr:nvSpPr>
          <xdr:spPr>
            <a:xfrm>
              <a:off x="8208010" y="1553845"/>
              <a:ext cx="914400" cy="24003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4</xdr:col>
          <xdr:colOff>6985</xdr:colOff>
          <xdr:row>3</xdr:row>
          <xdr:rowOff>22225</xdr:rowOff>
        </xdr:from>
        <xdr:to>
          <xdr:col>4</xdr:col>
          <xdr:colOff>914400</xdr:colOff>
          <xdr:row>3</xdr:row>
          <xdr:rowOff>200660</xdr:rowOff>
        </xdr:to>
        <xdr:sp>
          <xdr:nvSpPr>
            <xdr:cNvPr id="223233" name="滚动条 61" hidden="1">
              <a:extLst>
                <a:ext uri="{63B3BB69-23CF-44E3-9099-C40C66FF867C}">
                  <a14:compatExt spid="_x0000_s223233"/>
                </a:ext>
              </a:extLst>
            </xdr:cNvPr>
            <xdr:cNvSpPr/>
          </xdr:nvSpPr>
          <xdr:spPr>
            <a:xfrm>
              <a:off x="8427085" y="1027430"/>
              <a:ext cx="907415" cy="17843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xdr:colOff>
          <xdr:row>4</xdr:row>
          <xdr:rowOff>29210</xdr:rowOff>
        </xdr:from>
        <xdr:to>
          <xdr:col>4</xdr:col>
          <xdr:colOff>914400</xdr:colOff>
          <xdr:row>4</xdr:row>
          <xdr:rowOff>215265</xdr:rowOff>
        </xdr:to>
        <xdr:sp>
          <xdr:nvSpPr>
            <xdr:cNvPr id="223234" name="滚动条 62" hidden="1">
              <a:extLst>
                <a:ext uri="{63B3BB69-23CF-44E3-9099-C40C66FF867C}">
                  <a14:compatExt spid="_x0000_s223234"/>
                </a:ext>
              </a:extLst>
            </xdr:cNvPr>
            <xdr:cNvSpPr/>
          </xdr:nvSpPr>
          <xdr:spPr>
            <a:xfrm>
              <a:off x="8427085" y="1351280"/>
              <a:ext cx="907415" cy="18605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xdr:colOff>
          <xdr:row>5</xdr:row>
          <xdr:rowOff>29210</xdr:rowOff>
        </xdr:from>
        <xdr:to>
          <xdr:col>4</xdr:col>
          <xdr:colOff>914400</xdr:colOff>
          <xdr:row>5</xdr:row>
          <xdr:rowOff>215265</xdr:rowOff>
        </xdr:to>
        <xdr:sp>
          <xdr:nvSpPr>
            <xdr:cNvPr id="223235" name="滚动条 63" hidden="1">
              <a:extLst>
                <a:ext uri="{63B3BB69-23CF-44E3-9099-C40C66FF867C}">
                  <a14:compatExt spid="_x0000_s223235"/>
                </a:ext>
              </a:extLst>
            </xdr:cNvPr>
            <xdr:cNvSpPr/>
          </xdr:nvSpPr>
          <xdr:spPr>
            <a:xfrm>
              <a:off x="8427085" y="1668145"/>
              <a:ext cx="907415" cy="18605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6985</xdr:colOff>
          <xdr:row>6</xdr:row>
          <xdr:rowOff>22225</xdr:rowOff>
        </xdr:from>
        <xdr:to>
          <xdr:col>4</xdr:col>
          <xdr:colOff>914400</xdr:colOff>
          <xdr:row>6</xdr:row>
          <xdr:rowOff>200660</xdr:rowOff>
        </xdr:to>
        <xdr:sp>
          <xdr:nvSpPr>
            <xdr:cNvPr id="223236" name="滚动条 64" hidden="1">
              <a:extLst>
                <a:ext uri="{63B3BB69-23CF-44E3-9099-C40C66FF867C}">
                  <a14:compatExt spid="_x0000_s223236"/>
                </a:ext>
              </a:extLst>
            </xdr:cNvPr>
            <xdr:cNvSpPr/>
          </xdr:nvSpPr>
          <xdr:spPr>
            <a:xfrm>
              <a:off x="8427085" y="1978025"/>
              <a:ext cx="907415" cy="178435"/>
            </a:xfrm>
            <a:prstGeom prst="rect">
              <a:avLst/>
            </a:prstGeom>
          </xdr:spPr>
        </xdr:sp>
        <xdr:clientData/>
      </xdr:twoCellAnchor>
    </mc:Choice>
    <mc:Fallback/>
  </mc:AlternateContent>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3</xdr:col>
      <xdr:colOff>493395</xdr:colOff>
      <xdr:row>2</xdr:row>
      <xdr:rowOff>143510</xdr:rowOff>
    </xdr:from>
    <xdr:to>
      <xdr:col>4</xdr:col>
      <xdr:colOff>480060</xdr:colOff>
      <xdr:row>2</xdr:row>
      <xdr:rowOff>154305</xdr:rowOff>
    </xdr:to>
    <xdr:sp>
      <xdr:nvSpPr>
        <xdr:cNvPr id="192521" name="WordArt 29"/>
        <xdr:cNvSpPr/>
      </xdr:nvSpPr>
      <xdr:spPr>
        <a:xfrm>
          <a:off x="5036820" y="886460"/>
          <a:ext cx="1501140" cy="107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30.xml><?xml version="1.0" encoding="utf-8"?>
<xdr:wsDr xmlns:xdr="http://schemas.openxmlformats.org/drawingml/2006/spreadsheetDrawing" xmlns:r="http://schemas.openxmlformats.org/officeDocument/2006/relationships" xmlns:a="http://schemas.openxmlformats.org/drawingml/2006/main">
  <xdr:twoCellAnchor>
    <xdr:from>
      <xdr:col>12</xdr:col>
      <xdr:colOff>28575</xdr:colOff>
      <xdr:row>2</xdr:row>
      <xdr:rowOff>152400</xdr:rowOff>
    </xdr:from>
    <xdr:to>
      <xdr:col>18</xdr:col>
      <xdr:colOff>28575</xdr:colOff>
      <xdr:row>12</xdr:row>
      <xdr:rowOff>143510</xdr:rowOff>
    </xdr:to>
    <xdr:graphicFrame>
      <xdr:nvGraphicFramePr>
        <xdr:cNvPr id="226313" name="图表 1"/>
        <xdr:cNvGraphicFramePr/>
      </xdr:nvGraphicFramePr>
      <xdr:xfrm>
        <a:off x="10401300" y="771525"/>
        <a:ext cx="6743700" cy="229616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r="http://schemas.openxmlformats.org/officeDocument/2006/relationships" xmlns:a="http://schemas.openxmlformats.org/drawingml/2006/main">
  <xdr:twoCellAnchor editAs="absolute">
    <xdr:from>
      <xdr:col>2</xdr:col>
      <xdr:colOff>0</xdr:colOff>
      <xdr:row>4</xdr:row>
      <xdr:rowOff>0</xdr:rowOff>
    </xdr:from>
    <xdr:to>
      <xdr:col>6</xdr:col>
      <xdr:colOff>238125</xdr:colOff>
      <xdr:row>15</xdr:row>
      <xdr:rowOff>123825</xdr:rowOff>
    </xdr:to>
    <xdr:graphicFrame>
      <xdr:nvGraphicFramePr>
        <xdr:cNvPr id="230409" name="图表 1"/>
        <xdr:cNvGraphicFramePr/>
      </xdr:nvGraphicFramePr>
      <xdr:xfrm>
        <a:off x="962025" y="1019175"/>
        <a:ext cx="4953000" cy="253365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3</xdr:col>
          <xdr:colOff>839470</xdr:colOff>
          <xdr:row>20</xdr:row>
          <xdr:rowOff>0</xdr:rowOff>
        </xdr:from>
        <xdr:to>
          <xdr:col>4</xdr:col>
          <xdr:colOff>6985</xdr:colOff>
          <xdr:row>20</xdr:row>
          <xdr:rowOff>133350</xdr:rowOff>
        </xdr:to>
        <xdr:sp>
          <xdr:nvSpPr>
            <xdr:cNvPr id="230401" name="Spinner 1" hidden="1">
              <a:extLst>
                <a:ext uri="{63B3BB69-23CF-44E3-9099-C40C66FF867C}">
                  <a14:compatExt spid="_x0000_s230401"/>
                </a:ext>
              </a:extLst>
            </xdr:cNvPr>
            <xdr:cNvSpPr/>
          </xdr:nvSpPr>
          <xdr:spPr>
            <a:xfrm>
              <a:off x="2944495" y="4552950"/>
              <a:ext cx="35814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832485</xdr:colOff>
          <xdr:row>21</xdr:row>
          <xdr:rowOff>0</xdr:rowOff>
        </xdr:from>
        <xdr:to>
          <xdr:col>4</xdr:col>
          <xdr:colOff>0</xdr:colOff>
          <xdr:row>21</xdr:row>
          <xdr:rowOff>133350</xdr:rowOff>
        </xdr:to>
        <xdr:sp>
          <xdr:nvSpPr>
            <xdr:cNvPr id="230402" name="Spinner 2" hidden="1">
              <a:extLst>
                <a:ext uri="{63B3BB69-23CF-44E3-9099-C40C66FF867C}">
                  <a14:compatExt spid="_x0000_s230402"/>
                </a:ext>
              </a:extLst>
            </xdr:cNvPr>
            <xdr:cNvSpPr/>
          </xdr:nvSpPr>
          <xdr:spPr>
            <a:xfrm>
              <a:off x="2937510" y="4772025"/>
              <a:ext cx="35814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817245</xdr:colOff>
          <xdr:row>22</xdr:row>
          <xdr:rowOff>6985</xdr:rowOff>
        </xdr:from>
        <xdr:to>
          <xdr:col>3</xdr:col>
          <xdr:colOff>921385</xdr:colOff>
          <xdr:row>23</xdr:row>
          <xdr:rowOff>0</xdr:rowOff>
        </xdr:to>
        <xdr:sp>
          <xdr:nvSpPr>
            <xdr:cNvPr id="230403" name="Spinner 3" hidden="1">
              <a:extLst>
                <a:ext uri="{63B3BB69-23CF-44E3-9099-C40C66FF867C}">
                  <a14:compatExt spid="_x0000_s230403"/>
                </a:ext>
              </a:extLst>
            </xdr:cNvPr>
            <xdr:cNvSpPr/>
          </xdr:nvSpPr>
          <xdr:spPr>
            <a:xfrm>
              <a:off x="2922270" y="4998085"/>
              <a:ext cx="104140" cy="2120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19</xdr:row>
          <xdr:rowOff>6985</xdr:rowOff>
        </xdr:from>
        <xdr:to>
          <xdr:col>5</xdr:col>
          <xdr:colOff>921385</xdr:colOff>
          <xdr:row>20</xdr:row>
          <xdr:rowOff>0</xdr:rowOff>
        </xdr:to>
        <xdr:sp>
          <xdr:nvSpPr>
            <xdr:cNvPr id="230404" name="Spinner 4" hidden="1">
              <a:extLst>
                <a:ext uri="{63B3BB69-23CF-44E3-9099-C40C66FF867C}">
                  <a14:compatExt spid="_x0000_s230404"/>
                </a:ext>
              </a:extLst>
            </xdr:cNvPr>
            <xdr:cNvSpPr/>
          </xdr:nvSpPr>
          <xdr:spPr>
            <a:xfrm>
              <a:off x="5303520" y="4331335"/>
              <a:ext cx="104140" cy="22161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20</xdr:row>
          <xdr:rowOff>6985</xdr:rowOff>
        </xdr:from>
        <xdr:to>
          <xdr:col>5</xdr:col>
          <xdr:colOff>921385</xdr:colOff>
          <xdr:row>21</xdr:row>
          <xdr:rowOff>0</xdr:rowOff>
        </xdr:to>
        <xdr:sp>
          <xdr:nvSpPr>
            <xdr:cNvPr id="230405" name="Spinner 5" hidden="1">
              <a:extLst>
                <a:ext uri="{63B3BB69-23CF-44E3-9099-C40C66FF867C}">
                  <a14:compatExt spid="_x0000_s230405"/>
                </a:ext>
              </a:extLst>
            </xdr:cNvPr>
            <xdr:cNvSpPr/>
          </xdr:nvSpPr>
          <xdr:spPr>
            <a:xfrm>
              <a:off x="5303520" y="4559935"/>
              <a:ext cx="104140" cy="2120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21</xdr:row>
          <xdr:rowOff>0</xdr:rowOff>
        </xdr:from>
        <xdr:to>
          <xdr:col>5</xdr:col>
          <xdr:colOff>914400</xdr:colOff>
          <xdr:row>21</xdr:row>
          <xdr:rowOff>133350</xdr:rowOff>
        </xdr:to>
        <xdr:sp>
          <xdr:nvSpPr>
            <xdr:cNvPr id="230406" name="Spinner 6" hidden="1">
              <a:extLst>
                <a:ext uri="{63B3BB69-23CF-44E3-9099-C40C66FF867C}">
                  <a14:compatExt spid="_x0000_s230406"/>
                </a:ext>
              </a:extLst>
            </xdr:cNvPr>
            <xdr:cNvSpPr/>
          </xdr:nvSpPr>
          <xdr:spPr>
            <a:xfrm>
              <a:off x="5303520" y="4772025"/>
              <a:ext cx="97155"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22</xdr:row>
          <xdr:rowOff>6985</xdr:rowOff>
        </xdr:from>
        <xdr:to>
          <xdr:col>5</xdr:col>
          <xdr:colOff>914400</xdr:colOff>
          <xdr:row>23</xdr:row>
          <xdr:rowOff>0</xdr:rowOff>
        </xdr:to>
        <xdr:sp>
          <xdr:nvSpPr>
            <xdr:cNvPr id="230407" name="Spinner 7" hidden="1">
              <a:extLst>
                <a:ext uri="{63B3BB69-23CF-44E3-9099-C40C66FF867C}">
                  <a14:compatExt spid="_x0000_s230407"/>
                </a:ext>
              </a:extLst>
            </xdr:cNvPr>
            <xdr:cNvSpPr/>
          </xdr:nvSpPr>
          <xdr:spPr>
            <a:xfrm>
              <a:off x="5303520" y="4998085"/>
              <a:ext cx="97155" cy="2120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839470</xdr:colOff>
          <xdr:row>20</xdr:row>
          <xdr:rowOff>0</xdr:rowOff>
        </xdr:from>
        <xdr:to>
          <xdr:col>4</xdr:col>
          <xdr:colOff>6985</xdr:colOff>
          <xdr:row>20</xdr:row>
          <xdr:rowOff>133350</xdr:rowOff>
        </xdr:to>
        <xdr:sp>
          <xdr:nvSpPr>
            <xdr:cNvPr id="230408" name="Spinner 8" hidden="1">
              <a:extLst>
                <a:ext uri="{63B3BB69-23CF-44E3-9099-C40C66FF867C}">
                  <a14:compatExt spid="_x0000_s230408"/>
                </a:ext>
              </a:extLst>
            </xdr:cNvPr>
            <xdr:cNvSpPr/>
          </xdr:nvSpPr>
          <xdr:spPr>
            <a:xfrm>
              <a:off x="2944495" y="4552950"/>
              <a:ext cx="35814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832485</xdr:colOff>
          <xdr:row>21</xdr:row>
          <xdr:rowOff>0</xdr:rowOff>
        </xdr:from>
        <xdr:to>
          <xdr:col>4</xdr:col>
          <xdr:colOff>0</xdr:colOff>
          <xdr:row>21</xdr:row>
          <xdr:rowOff>133350</xdr:rowOff>
        </xdr:to>
        <xdr:sp>
          <xdr:nvSpPr>
            <xdr:cNvPr id="230410" name="Spinner 9" hidden="1">
              <a:extLst>
                <a:ext uri="{63B3BB69-23CF-44E3-9099-C40C66FF867C}">
                  <a14:compatExt spid="_x0000_s230410"/>
                </a:ext>
              </a:extLst>
            </xdr:cNvPr>
            <xdr:cNvSpPr/>
          </xdr:nvSpPr>
          <xdr:spPr>
            <a:xfrm>
              <a:off x="2937510" y="4772025"/>
              <a:ext cx="35814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817245</xdr:colOff>
          <xdr:row>22</xdr:row>
          <xdr:rowOff>6985</xdr:rowOff>
        </xdr:from>
        <xdr:to>
          <xdr:col>3</xdr:col>
          <xdr:colOff>921385</xdr:colOff>
          <xdr:row>23</xdr:row>
          <xdr:rowOff>0</xdr:rowOff>
        </xdr:to>
        <xdr:sp>
          <xdr:nvSpPr>
            <xdr:cNvPr id="230411" name="Spinner 11" hidden="1">
              <a:extLst>
                <a:ext uri="{63B3BB69-23CF-44E3-9099-C40C66FF867C}">
                  <a14:compatExt spid="_x0000_s230411"/>
                </a:ext>
              </a:extLst>
            </xdr:cNvPr>
            <xdr:cNvSpPr/>
          </xdr:nvSpPr>
          <xdr:spPr>
            <a:xfrm>
              <a:off x="2922270" y="4998085"/>
              <a:ext cx="104140" cy="2120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19</xdr:row>
          <xdr:rowOff>6985</xdr:rowOff>
        </xdr:from>
        <xdr:to>
          <xdr:col>5</xdr:col>
          <xdr:colOff>921385</xdr:colOff>
          <xdr:row>20</xdr:row>
          <xdr:rowOff>0</xdr:rowOff>
        </xdr:to>
        <xdr:sp>
          <xdr:nvSpPr>
            <xdr:cNvPr id="230412" name="Spinner 12" hidden="1">
              <a:extLst>
                <a:ext uri="{63B3BB69-23CF-44E3-9099-C40C66FF867C}">
                  <a14:compatExt spid="_x0000_s230412"/>
                </a:ext>
              </a:extLst>
            </xdr:cNvPr>
            <xdr:cNvSpPr/>
          </xdr:nvSpPr>
          <xdr:spPr>
            <a:xfrm>
              <a:off x="5303520" y="4331335"/>
              <a:ext cx="104140" cy="22161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20</xdr:row>
          <xdr:rowOff>6985</xdr:rowOff>
        </xdr:from>
        <xdr:to>
          <xdr:col>5</xdr:col>
          <xdr:colOff>921385</xdr:colOff>
          <xdr:row>21</xdr:row>
          <xdr:rowOff>0</xdr:rowOff>
        </xdr:to>
        <xdr:sp>
          <xdr:nvSpPr>
            <xdr:cNvPr id="230413" name="Spinner 13" hidden="1">
              <a:extLst>
                <a:ext uri="{63B3BB69-23CF-44E3-9099-C40C66FF867C}">
                  <a14:compatExt spid="_x0000_s230413"/>
                </a:ext>
              </a:extLst>
            </xdr:cNvPr>
            <xdr:cNvSpPr/>
          </xdr:nvSpPr>
          <xdr:spPr>
            <a:xfrm>
              <a:off x="5303520" y="4559935"/>
              <a:ext cx="104140" cy="2120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21</xdr:row>
          <xdr:rowOff>0</xdr:rowOff>
        </xdr:from>
        <xdr:to>
          <xdr:col>5</xdr:col>
          <xdr:colOff>914400</xdr:colOff>
          <xdr:row>21</xdr:row>
          <xdr:rowOff>133350</xdr:rowOff>
        </xdr:to>
        <xdr:sp>
          <xdr:nvSpPr>
            <xdr:cNvPr id="230414" name="Spinner 14" hidden="1">
              <a:extLst>
                <a:ext uri="{63B3BB69-23CF-44E3-9099-C40C66FF867C}">
                  <a14:compatExt spid="_x0000_s230414"/>
                </a:ext>
              </a:extLst>
            </xdr:cNvPr>
            <xdr:cNvSpPr/>
          </xdr:nvSpPr>
          <xdr:spPr>
            <a:xfrm>
              <a:off x="5303520" y="4772025"/>
              <a:ext cx="97155"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817245</xdr:colOff>
          <xdr:row>22</xdr:row>
          <xdr:rowOff>6985</xdr:rowOff>
        </xdr:from>
        <xdr:to>
          <xdr:col>5</xdr:col>
          <xdr:colOff>914400</xdr:colOff>
          <xdr:row>23</xdr:row>
          <xdr:rowOff>0</xdr:rowOff>
        </xdr:to>
        <xdr:sp>
          <xdr:nvSpPr>
            <xdr:cNvPr id="230415" name="Spinner 15" hidden="1">
              <a:extLst>
                <a:ext uri="{63B3BB69-23CF-44E3-9099-C40C66FF867C}">
                  <a14:compatExt spid="_x0000_s230415"/>
                </a:ext>
              </a:extLst>
            </xdr:cNvPr>
            <xdr:cNvSpPr/>
          </xdr:nvSpPr>
          <xdr:spPr>
            <a:xfrm>
              <a:off x="5303520" y="4998085"/>
              <a:ext cx="97155" cy="212090"/>
            </a:xfrm>
            <a:prstGeom prst="rect">
              <a:avLst/>
            </a:prstGeom>
          </xdr:spPr>
        </xdr:sp>
        <xdr:clientData/>
      </xdr:twoCellAnchor>
    </mc:Choice>
    <mc:Fallback/>
  </mc:AlternateContent>
</xdr:wsDr>
</file>

<file path=xl/drawings/drawing32.xml><?xml version="1.0" encoding="utf-8"?>
<xdr:wsDr xmlns:xdr="http://schemas.openxmlformats.org/drawingml/2006/spreadsheetDrawing" xmlns:r="http://schemas.openxmlformats.org/officeDocument/2006/relationships" xmlns:a="http://schemas.openxmlformats.org/drawingml/2006/main">
  <xdr:twoCellAnchor editAs="absolute">
    <xdr:from>
      <xdr:col>0</xdr:col>
      <xdr:colOff>635</xdr:colOff>
      <xdr:row>3</xdr:row>
      <xdr:rowOff>86360</xdr:rowOff>
    </xdr:from>
    <xdr:to>
      <xdr:col>9</xdr:col>
      <xdr:colOff>67310</xdr:colOff>
      <xdr:row>14</xdr:row>
      <xdr:rowOff>104140</xdr:rowOff>
    </xdr:to>
    <xdr:graphicFrame>
      <xdr:nvGraphicFramePr>
        <xdr:cNvPr id="231433" name="图表 1"/>
        <xdr:cNvGraphicFramePr/>
      </xdr:nvGraphicFramePr>
      <xdr:xfrm>
        <a:off x="635" y="867410"/>
        <a:ext cx="7219950" cy="242760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2</xdr:col>
          <xdr:colOff>527685</xdr:colOff>
          <xdr:row>23</xdr:row>
          <xdr:rowOff>0</xdr:rowOff>
        </xdr:from>
        <xdr:to>
          <xdr:col>2</xdr:col>
          <xdr:colOff>624205</xdr:colOff>
          <xdr:row>23</xdr:row>
          <xdr:rowOff>133350</xdr:rowOff>
        </xdr:to>
        <xdr:sp>
          <xdr:nvSpPr>
            <xdr:cNvPr id="231425" name="Spinner 1" hidden="1">
              <a:extLst>
                <a:ext uri="{63B3BB69-23CF-44E3-9099-C40C66FF867C}">
                  <a14:compatExt spid="_x0000_s231425"/>
                </a:ext>
              </a:extLst>
            </xdr:cNvPr>
            <xdr:cNvSpPr/>
          </xdr:nvSpPr>
          <xdr:spPr>
            <a:xfrm>
              <a:off x="2013585" y="5172075"/>
              <a:ext cx="96520" cy="1333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505460</xdr:colOff>
          <xdr:row>22</xdr:row>
          <xdr:rowOff>133350</xdr:rowOff>
        </xdr:from>
        <xdr:to>
          <xdr:col>4</xdr:col>
          <xdr:colOff>0</xdr:colOff>
          <xdr:row>23</xdr:row>
          <xdr:rowOff>133350</xdr:rowOff>
        </xdr:to>
        <xdr:sp>
          <xdr:nvSpPr>
            <xdr:cNvPr id="231426" name="Spinner 2" hidden="1">
              <a:extLst>
                <a:ext uri="{63B3BB69-23CF-44E3-9099-C40C66FF867C}">
                  <a14:compatExt spid="_x0000_s231426"/>
                </a:ext>
              </a:extLst>
            </xdr:cNvPr>
            <xdr:cNvSpPr/>
          </xdr:nvSpPr>
          <xdr:spPr>
            <a:xfrm>
              <a:off x="2800985" y="5086350"/>
              <a:ext cx="304165" cy="2190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512445</xdr:colOff>
          <xdr:row>23</xdr:row>
          <xdr:rowOff>126365</xdr:rowOff>
        </xdr:from>
        <xdr:to>
          <xdr:col>4</xdr:col>
          <xdr:colOff>0</xdr:colOff>
          <xdr:row>24</xdr:row>
          <xdr:rowOff>133350</xdr:rowOff>
        </xdr:to>
        <xdr:sp>
          <xdr:nvSpPr>
            <xdr:cNvPr id="231427" name="Spinner 3" hidden="1">
              <a:extLst>
                <a:ext uri="{63B3BB69-23CF-44E3-9099-C40C66FF867C}">
                  <a14:compatExt spid="_x0000_s231427"/>
                </a:ext>
              </a:extLst>
            </xdr:cNvPr>
            <xdr:cNvSpPr/>
          </xdr:nvSpPr>
          <xdr:spPr>
            <a:xfrm>
              <a:off x="2807970" y="5298440"/>
              <a:ext cx="297180" cy="22606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534670</xdr:colOff>
          <xdr:row>24</xdr:row>
          <xdr:rowOff>14605</xdr:rowOff>
        </xdr:from>
        <xdr:to>
          <xdr:col>3</xdr:col>
          <xdr:colOff>0</xdr:colOff>
          <xdr:row>25</xdr:row>
          <xdr:rowOff>6985</xdr:rowOff>
        </xdr:to>
        <xdr:sp>
          <xdr:nvSpPr>
            <xdr:cNvPr id="231428" name="Spinner 4" hidden="1">
              <a:extLst>
                <a:ext uri="{63B3BB69-23CF-44E3-9099-C40C66FF867C}">
                  <a14:compatExt spid="_x0000_s231428"/>
                </a:ext>
              </a:extLst>
            </xdr:cNvPr>
            <xdr:cNvSpPr/>
          </xdr:nvSpPr>
          <xdr:spPr>
            <a:xfrm>
              <a:off x="2020570" y="5405755"/>
              <a:ext cx="274955" cy="21145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xdr:colOff>
          <xdr:row>17</xdr:row>
          <xdr:rowOff>14605</xdr:rowOff>
        </xdr:from>
        <xdr:to>
          <xdr:col>3</xdr:col>
          <xdr:colOff>624205</xdr:colOff>
          <xdr:row>17</xdr:row>
          <xdr:rowOff>148590</xdr:rowOff>
        </xdr:to>
        <xdr:sp>
          <xdr:nvSpPr>
            <xdr:cNvPr id="231429" name="Scroll Bar 5" hidden="1">
              <a:extLst>
                <a:ext uri="{63B3BB69-23CF-44E3-9099-C40C66FF867C}">
                  <a14:compatExt spid="_x0000_s231429"/>
                </a:ext>
              </a:extLst>
            </xdr:cNvPr>
            <xdr:cNvSpPr/>
          </xdr:nvSpPr>
          <xdr:spPr>
            <a:xfrm>
              <a:off x="2302510" y="3872230"/>
              <a:ext cx="617220" cy="13398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xdr:colOff>
          <xdr:row>18</xdr:row>
          <xdr:rowOff>14605</xdr:rowOff>
        </xdr:from>
        <xdr:to>
          <xdr:col>3</xdr:col>
          <xdr:colOff>624205</xdr:colOff>
          <xdr:row>18</xdr:row>
          <xdr:rowOff>148590</xdr:rowOff>
        </xdr:to>
        <xdr:sp>
          <xdr:nvSpPr>
            <xdr:cNvPr id="231430" name="Scroll Bar 6" hidden="1">
              <a:extLst>
                <a:ext uri="{63B3BB69-23CF-44E3-9099-C40C66FF867C}">
                  <a14:compatExt spid="_x0000_s231430"/>
                </a:ext>
              </a:extLst>
            </xdr:cNvPr>
            <xdr:cNvSpPr/>
          </xdr:nvSpPr>
          <xdr:spPr>
            <a:xfrm>
              <a:off x="2302510" y="4091305"/>
              <a:ext cx="617220" cy="13398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xdr:colOff>
          <xdr:row>19</xdr:row>
          <xdr:rowOff>14605</xdr:rowOff>
        </xdr:from>
        <xdr:to>
          <xdr:col>3</xdr:col>
          <xdr:colOff>624205</xdr:colOff>
          <xdr:row>19</xdr:row>
          <xdr:rowOff>163195</xdr:rowOff>
        </xdr:to>
        <xdr:sp>
          <xdr:nvSpPr>
            <xdr:cNvPr id="231431" name="Scroll Bar 7" hidden="1">
              <a:extLst>
                <a:ext uri="{63B3BB69-23CF-44E3-9099-C40C66FF867C}">
                  <a14:compatExt spid="_x0000_s231431"/>
                </a:ext>
              </a:extLst>
            </xdr:cNvPr>
            <xdr:cNvSpPr/>
          </xdr:nvSpPr>
          <xdr:spPr>
            <a:xfrm>
              <a:off x="2302510" y="4310380"/>
              <a:ext cx="617220" cy="14859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xdr:colOff>
          <xdr:row>20</xdr:row>
          <xdr:rowOff>14605</xdr:rowOff>
        </xdr:from>
        <xdr:to>
          <xdr:col>3</xdr:col>
          <xdr:colOff>624205</xdr:colOff>
          <xdr:row>20</xdr:row>
          <xdr:rowOff>133350</xdr:rowOff>
        </xdr:to>
        <xdr:sp>
          <xdr:nvSpPr>
            <xdr:cNvPr id="231432" name="Scroll Bar 8" hidden="1">
              <a:extLst>
                <a:ext uri="{63B3BB69-23CF-44E3-9099-C40C66FF867C}">
                  <a14:compatExt spid="_x0000_s231432"/>
                </a:ext>
              </a:extLst>
            </xdr:cNvPr>
            <xdr:cNvSpPr/>
          </xdr:nvSpPr>
          <xdr:spPr>
            <a:xfrm>
              <a:off x="2302510" y="4529455"/>
              <a:ext cx="617220" cy="118745"/>
            </a:xfrm>
            <a:prstGeom prst="rect">
              <a:avLst/>
            </a:prstGeom>
          </xdr:spPr>
        </xdr:sp>
        <xdr:clientData/>
      </xdr:twoCellAnchor>
    </mc:Choice>
    <mc:Fallback/>
  </mc:AlternateContent>
</xdr:wsDr>
</file>

<file path=xl/drawings/drawing3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1</xdr:row>
      <xdr:rowOff>0</xdr:rowOff>
    </xdr:from>
    <xdr:to>
      <xdr:col>5</xdr:col>
      <xdr:colOff>47625</xdr:colOff>
      <xdr:row>1</xdr:row>
      <xdr:rowOff>9525</xdr:rowOff>
    </xdr:to>
    <xdr:graphicFrame>
      <xdr:nvGraphicFramePr>
        <xdr:cNvPr id="233553" name="Chart 1"/>
        <xdr:cNvGraphicFramePr/>
      </xdr:nvGraphicFramePr>
      <xdr:xfrm>
        <a:off x="0" y="152400"/>
        <a:ext cx="3419475"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1</xdr:row>
      <xdr:rowOff>0</xdr:rowOff>
    </xdr:from>
    <xdr:to>
      <xdr:col>10</xdr:col>
      <xdr:colOff>447675</xdr:colOff>
      <xdr:row>1</xdr:row>
      <xdr:rowOff>9525</xdr:rowOff>
    </xdr:to>
    <xdr:graphicFrame>
      <xdr:nvGraphicFramePr>
        <xdr:cNvPr id="233554" name="Chart 2"/>
        <xdr:cNvGraphicFramePr/>
      </xdr:nvGraphicFramePr>
      <xdr:xfrm>
        <a:off x="3476625" y="15240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1</xdr:row>
      <xdr:rowOff>0</xdr:rowOff>
    </xdr:from>
    <xdr:to>
      <xdr:col>4</xdr:col>
      <xdr:colOff>0</xdr:colOff>
      <xdr:row>1</xdr:row>
      <xdr:rowOff>9525</xdr:rowOff>
    </xdr:to>
    <xdr:graphicFrame>
      <xdr:nvGraphicFramePr>
        <xdr:cNvPr id="233555" name="Chart 3"/>
        <xdr:cNvGraphicFramePr/>
      </xdr:nvGraphicFramePr>
      <xdr:xfrm>
        <a:off x="47625" y="152400"/>
        <a:ext cx="2667000"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1</xdr:row>
      <xdr:rowOff>0</xdr:rowOff>
    </xdr:from>
    <xdr:to>
      <xdr:col>10</xdr:col>
      <xdr:colOff>352425</xdr:colOff>
      <xdr:row>1</xdr:row>
      <xdr:rowOff>9525</xdr:rowOff>
    </xdr:to>
    <xdr:graphicFrame>
      <xdr:nvGraphicFramePr>
        <xdr:cNvPr id="233556" name="Chart 4"/>
        <xdr:cNvGraphicFramePr/>
      </xdr:nvGraphicFramePr>
      <xdr:xfrm>
        <a:off x="3371850" y="15240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1</xdr:row>
      <xdr:rowOff>0</xdr:rowOff>
    </xdr:from>
    <xdr:to>
      <xdr:col>4</xdr:col>
      <xdr:colOff>0</xdr:colOff>
      <xdr:row>1</xdr:row>
      <xdr:rowOff>9525</xdr:rowOff>
    </xdr:to>
    <xdr:graphicFrame>
      <xdr:nvGraphicFramePr>
        <xdr:cNvPr id="233557" name="Chart 5"/>
        <xdr:cNvGraphicFramePr/>
      </xdr:nvGraphicFramePr>
      <xdr:xfrm>
        <a:off x="47625" y="152400"/>
        <a:ext cx="2667000"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xdr:row>
      <xdr:rowOff>0</xdr:rowOff>
    </xdr:from>
    <xdr:to>
      <xdr:col>10</xdr:col>
      <xdr:colOff>352425</xdr:colOff>
      <xdr:row>1</xdr:row>
      <xdr:rowOff>9525</xdr:rowOff>
    </xdr:to>
    <xdr:graphicFrame>
      <xdr:nvGraphicFramePr>
        <xdr:cNvPr id="233558" name="Chart 6"/>
        <xdr:cNvGraphicFramePr/>
      </xdr:nvGraphicFramePr>
      <xdr:xfrm>
        <a:off x="3371850" y="15240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16</xdr:row>
      <xdr:rowOff>19050</xdr:rowOff>
    </xdr:from>
    <xdr:to>
      <xdr:col>5</xdr:col>
      <xdr:colOff>590550</xdr:colOff>
      <xdr:row>27</xdr:row>
      <xdr:rowOff>9525</xdr:rowOff>
    </xdr:to>
    <xdr:graphicFrame>
      <xdr:nvGraphicFramePr>
        <xdr:cNvPr id="233559" name="Chart 7"/>
        <xdr:cNvGraphicFramePr/>
      </xdr:nvGraphicFramePr>
      <xdr:xfrm>
        <a:off x="19050" y="2476500"/>
        <a:ext cx="3943350" cy="166687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28575</xdr:colOff>
      <xdr:row>16</xdr:row>
      <xdr:rowOff>0</xdr:rowOff>
    </xdr:from>
    <xdr:to>
      <xdr:col>12</xdr:col>
      <xdr:colOff>590550</xdr:colOff>
      <xdr:row>26</xdr:row>
      <xdr:rowOff>142875</xdr:rowOff>
    </xdr:to>
    <xdr:graphicFrame>
      <xdr:nvGraphicFramePr>
        <xdr:cNvPr id="233560" name="Chart 8"/>
        <xdr:cNvGraphicFramePr/>
      </xdr:nvGraphicFramePr>
      <xdr:xfrm>
        <a:off x="4057650" y="2457450"/>
        <a:ext cx="4505325" cy="166687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9525</xdr:colOff>
      <xdr:row>28</xdr:row>
      <xdr:rowOff>0</xdr:rowOff>
    </xdr:from>
    <xdr:to>
      <xdr:col>5</xdr:col>
      <xdr:colOff>561975</xdr:colOff>
      <xdr:row>40</xdr:row>
      <xdr:rowOff>133350</xdr:rowOff>
    </xdr:to>
    <xdr:graphicFrame>
      <xdr:nvGraphicFramePr>
        <xdr:cNvPr id="233561" name="Chart 9"/>
        <xdr:cNvGraphicFramePr/>
      </xdr:nvGraphicFramePr>
      <xdr:xfrm>
        <a:off x="9525" y="4286250"/>
        <a:ext cx="3924300" cy="196215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19050</xdr:colOff>
      <xdr:row>28</xdr:row>
      <xdr:rowOff>19050</xdr:rowOff>
    </xdr:from>
    <xdr:to>
      <xdr:col>12</xdr:col>
      <xdr:colOff>571500</xdr:colOff>
      <xdr:row>40</xdr:row>
      <xdr:rowOff>123825</xdr:rowOff>
    </xdr:to>
    <xdr:graphicFrame>
      <xdr:nvGraphicFramePr>
        <xdr:cNvPr id="233562" name="Chart 10"/>
        <xdr:cNvGraphicFramePr/>
      </xdr:nvGraphicFramePr>
      <xdr:xfrm>
        <a:off x="4048125" y="4305300"/>
        <a:ext cx="4495800" cy="193357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4.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4577" name="Chart 1"/>
        <xdr:cNvGraphicFramePr/>
      </xdr:nvGraphicFramePr>
      <xdr:xfrm>
        <a:off x="0" y="323850"/>
        <a:ext cx="4562475"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34578" name="Chart 2"/>
        <xdr:cNvGraphicFramePr/>
      </xdr:nvGraphicFramePr>
      <xdr:xfrm>
        <a:off x="4619625" y="323850"/>
        <a:ext cx="307657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48260</xdr:colOff>
      <xdr:row>2</xdr:row>
      <xdr:rowOff>0</xdr:rowOff>
    </xdr:from>
    <xdr:to>
      <xdr:col>3</xdr:col>
      <xdr:colOff>657225</xdr:colOff>
      <xdr:row>2</xdr:row>
      <xdr:rowOff>9525</xdr:rowOff>
    </xdr:to>
    <xdr:graphicFrame>
      <xdr:nvGraphicFramePr>
        <xdr:cNvPr id="234579" name="Chart 3"/>
        <xdr:cNvGraphicFramePr/>
      </xdr:nvGraphicFramePr>
      <xdr:xfrm>
        <a:off x="48260" y="323850"/>
        <a:ext cx="3666490"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4580" name="Chart 4"/>
        <xdr:cNvGraphicFramePr/>
      </xdr:nvGraphicFramePr>
      <xdr:xfrm>
        <a:off x="4514850" y="323850"/>
        <a:ext cx="308610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48260</xdr:colOff>
      <xdr:row>2</xdr:row>
      <xdr:rowOff>0</xdr:rowOff>
    </xdr:from>
    <xdr:to>
      <xdr:col>3</xdr:col>
      <xdr:colOff>657225</xdr:colOff>
      <xdr:row>2</xdr:row>
      <xdr:rowOff>9525</xdr:rowOff>
    </xdr:to>
    <xdr:graphicFrame>
      <xdr:nvGraphicFramePr>
        <xdr:cNvPr id="234581" name="Chart 5"/>
        <xdr:cNvGraphicFramePr/>
      </xdr:nvGraphicFramePr>
      <xdr:xfrm>
        <a:off x="48260" y="323850"/>
        <a:ext cx="3666490"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4582" name="Chart 6"/>
        <xdr:cNvGraphicFramePr/>
      </xdr:nvGraphicFramePr>
      <xdr:xfrm>
        <a:off x="4514850" y="323850"/>
        <a:ext cx="308610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9</xdr:row>
      <xdr:rowOff>9525</xdr:rowOff>
    </xdr:from>
    <xdr:to>
      <xdr:col>4</xdr:col>
      <xdr:colOff>485775</xdr:colOff>
      <xdr:row>21</xdr:row>
      <xdr:rowOff>104775</xdr:rowOff>
    </xdr:to>
    <xdr:graphicFrame>
      <xdr:nvGraphicFramePr>
        <xdr:cNvPr id="234583" name="Chart 7"/>
        <xdr:cNvGraphicFramePr/>
      </xdr:nvGraphicFramePr>
      <xdr:xfrm>
        <a:off x="0" y="1343025"/>
        <a:ext cx="4457700" cy="192405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9</xdr:row>
      <xdr:rowOff>9525</xdr:rowOff>
    </xdr:from>
    <xdr:to>
      <xdr:col>12</xdr:col>
      <xdr:colOff>523875</xdr:colOff>
      <xdr:row>21</xdr:row>
      <xdr:rowOff>104775</xdr:rowOff>
    </xdr:to>
    <xdr:graphicFrame>
      <xdr:nvGraphicFramePr>
        <xdr:cNvPr id="234584" name="Chart 8"/>
        <xdr:cNvGraphicFramePr/>
      </xdr:nvGraphicFramePr>
      <xdr:xfrm>
        <a:off x="4514850" y="1343025"/>
        <a:ext cx="4543425" cy="192405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23</xdr:row>
      <xdr:rowOff>0</xdr:rowOff>
    </xdr:from>
    <xdr:to>
      <xdr:col>4</xdr:col>
      <xdr:colOff>457200</xdr:colOff>
      <xdr:row>35</xdr:row>
      <xdr:rowOff>85725</xdr:rowOff>
    </xdr:to>
    <xdr:graphicFrame>
      <xdr:nvGraphicFramePr>
        <xdr:cNvPr id="234585" name="Chart 9"/>
        <xdr:cNvGraphicFramePr/>
      </xdr:nvGraphicFramePr>
      <xdr:xfrm>
        <a:off x="0" y="3467100"/>
        <a:ext cx="4429125" cy="1914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9525</xdr:colOff>
      <xdr:row>23</xdr:row>
      <xdr:rowOff>9525</xdr:rowOff>
    </xdr:from>
    <xdr:to>
      <xdr:col>12</xdr:col>
      <xdr:colOff>514350</xdr:colOff>
      <xdr:row>35</xdr:row>
      <xdr:rowOff>76200</xdr:rowOff>
    </xdr:to>
    <xdr:graphicFrame>
      <xdr:nvGraphicFramePr>
        <xdr:cNvPr id="234586" name="Chart 10"/>
        <xdr:cNvGraphicFramePr/>
      </xdr:nvGraphicFramePr>
      <xdr:xfrm>
        <a:off x="4524375" y="3476625"/>
        <a:ext cx="4524375" cy="189547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5.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5649" name="Chart 1"/>
        <xdr:cNvGraphicFramePr/>
      </xdr:nvGraphicFramePr>
      <xdr:xfrm>
        <a:off x="0" y="323850"/>
        <a:ext cx="331470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12</xdr:col>
      <xdr:colOff>0</xdr:colOff>
      <xdr:row>2</xdr:row>
      <xdr:rowOff>9525</xdr:rowOff>
    </xdr:to>
    <xdr:graphicFrame>
      <xdr:nvGraphicFramePr>
        <xdr:cNvPr id="235650" name="Chart 2"/>
        <xdr:cNvGraphicFramePr/>
      </xdr:nvGraphicFramePr>
      <xdr:xfrm>
        <a:off x="3371850" y="323850"/>
        <a:ext cx="40481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5651" name="Chart 3"/>
        <xdr:cNvGraphicFramePr/>
      </xdr:nvGraphicFramePr>
      <xdr:xfrm>
        <a:off x="47625" y="323850"/>
        <a:ext cx="256222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11</xdr:col>
      <xdr:colOff>352425</xdr:colOff>
      <xdr:row>2</xdr:row>
      <xdr:rowOff>9525</xdr:rowOff>
    </xdr:to>
    <xdr:graphicFrame>
      <xdr:nvGraphicFramePr>
        <xdr:cNvPr id="235652" name="Chart 4"/>
        <xdr:cNvGraphicFramePr/>
      </xdr:nvGraphicFramePr>
      <xdr:xfrm>
        <a:off x="3267075" y="323850"/>
        <a:ext cx="4143375"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5653" name="Chart 5"/>
        <xdr:cNvGraphicFramePr/>
      </xdr:nvGraphicFramePr>
      <xdr:xfrm>
        <a:off x="47625" y="323850"/>
        <a:ext cx="256222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11</xdr:col>
      <xdr:colOff>352425</xdr:colOff>
      <xdr:row>2</xdr:row>
      <xdr:rowOff>9525</xdr:rowOff>
    </xdr:to>
    <xdr:graphicFrame>
      <xdr:nvGraphicFramePr>
        <xdr:cNvPr id="235654" name="Chart 6"/>
        <xdr:cNvGraphicFramePr/>
      </xdr:nvGraphicFramePr>
      <xdr:xfrm>
        <a:off x="3267075" y="323850"/>
        <a:ext cx="4143375"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21</xdr:row>
      <xdr:rowOff>0</xdr:rowOff>
    </xdr:from>
    <xdr:to>
      <xdr:col>4</xdr:col>
      <xdr:colOff>438150</xdr:colOff>
      <xdr:row>21</xdr:row>
      <xdr:rowOff>9525</xdr:rowOff>
    </xdr:to>
    <xdr:graphicFrame>
      <xdr:nvGraphicFramePr>
        <xdr:cNvPr id="235655" name="Chart 7"/>
        <xdr:cNvGraphicFramePr/>
      </xdr:nvGraphicFramePr>
      <xdr:xfrm>
        <a:off x="295275" y="3495675"/>
        <a:ext cx="275272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21</xdr:row>
      <xdr:rowOff>0</xdr:rowOff>
    </xdr:from>
    <xdr:to>
      <xdr:col>14</xdr:col>
      <xdr:colOff>0</xdr:colOff>
      <xdr:row>21</xdr:row>
      <xdr:rowOff>9525</xdr:rowOff>
    </xdr:to>
    <xdr:graphicFrame>
      <xdr:nvGraphicFramePr>
        <xdr:cNvPr id="235656" name="Chart 8"/>
        <xdr:cNvGraphicFramePr/>
      </xdr:nvGraphicFramePr>
      <xdr:xfrm>
        <a:off x="3286125" y="3495675"/>
        <a:ext cx="4876800"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21</xdr:row>
      <xdr:rowOff>0</xdr:rowOff>
    </xdr:from>
    <xdr:to>
      <xdr:col>4</xdr:col>
      <xdr:colOff>438150</xdr:colOff>
      <xdr:row>21</xdr:row>
      <xdr:rowOff>9525</xdr:rowOff>
    </xdr:to>
    <xdr:graphicFrame>
      <xdr:nvGraphicFramePr>
        <xdr:cNvPr id="235657" name="Chart 9"/>
        <xdr:cNvGraphicFramePr/>
      </xdr:nvGraphicFramePr>
      <xdr:xfrm>
        <a:off x="28575" y="3495675"/>
        <a:ext cx="301942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21</xdr:row>
      <xdr:rowOff>0</xdr:rowOff>
    </xdr:from>
    <xdr:to>
      <xdr:col>14</xdr:col>
      <xdr:colOff>0</xdr:colOff>
      <xdr:row>21</xdr:row>
      <xdr:rowOff>9525</xdr:rowOff>
    </xdr:to>
    <xdr:graphicFrame>
      <xdr:nvGraphicFramePr>
        <xdr:cNvPr id="235658" name="Chart 10"/>
        <xdr:cNvGraphicFramePr/>
      </xdr:nvGraphicFramePr>
      <xdr:xfrm>
        <a:off x="3295650" y="3495675"/>
        <a:ext cx="4867275"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28575</xdr:colOff>
      <xdr:row>22</xdr:row>
      <xdr:rowOff>9525</xdr:rowOff>
    </xdr:from>
    <xdr:to>
      <xdr:col>7</xdr:col>
      <xdr:colOff>504825</xdr:colOff>
      <xdr:row>39</xdr:row>
      <xdr:rowOff>133350</xdr:rowOff>
    </xdr:to>
    <xdr:graphicFrame>
      <xdr:nvGraphicFramePr>
        <xdr:cNvPr id="235659" name="Chart 12"/>
        <xdr:cNvGraphicFramePr/>
      </xdr:nvGraphicFramePr>
      <xdr:xfrm>
        <a:off x="28575" y="3657600"/>
        <a:ext cx="5057775" cy="27146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647700</xdr:colOff>
      <xdr:row>22</xdr:row>
      <xdr:rowOff>9525</xdr:rowOff>
    </xdr:from>
    <xdr:to>
      <xdr:col>18</xdr:col>
      <xdr:colOff>200025</xdr:colOff>
      <xdr:row>39</xdr:row>
      <xdr:rowOff>123825</xdr:rowOff>
    </xdr:to>
    <xdr:graphicFrame>
      <xdr:nvGraphicFramePr>
        <xdr:cNvPr id="235660" name="Chart 13"/>
        <xdr:cNvGraphicFramePr/>
      </xdr:nvGraphicFramePr>
      <xdr:xfrm>
        <a:off x="5229225" y="3657600"/>
        <a:ext cx="4610100" cy="270510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44</xdr:row>
      <xdr:rowOff>28575</xdr:rowOff>
    </xdr:from>
    <xdr:to>
      <xdr:col>7</xdr:col>
      <xdr:colOff>533400</xdr:colOff>
      <xdr:row>57</xdr:row>
      <xdr:rowOff>76200</xdr:rowOff>
    </xdr:to>
    <xdr:graphicFrame>
      <xdr:nvGraphicFramePr>
        <xdr:cNvPr id="235661" name="Chart 14"/>
        <xdr:cNvGraphicFramePr/>
      </xdr:nvGraphicFramePr>
      <xdr:xfrm>
        <a:off x="28575" y="7048500"/>
        <a:ext cx="5086350" cy="20288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44</xdr:row>
      <xdr:rowOff>19050</xdr:rowOff>
    </xdr:from>
    <xdr:to>
      <xdr:col>18</xdr:col>
      <xdr:colOff>228600</xdr:colOff>
      <xdr:row>57</xdr:row>
      <xdr:rowOff>19050</xdr:rowOff>
    </xdr:to>
    <xdr:graphicFrame>
      <xdr:nvGraphicFramePr>
        <xdr:cNvPr id="235662" name="Chart 15"/>
        <xdr:cNvGraphicFramePr/>
      </xdr:nvGraphicFramePr>
      <xdr:xfrm>
        <a:off x="5238750" y="7038975"/>
        <a:ext cx="4629150" cy="198120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38100</xdr:colOff>
      <xdr:row>59</xdr:row>
      <xdr:rowOff>19050</xdr:rowOff>
    </xdr:from>
    <xdr:to>
      <xdr:col>18</xdr:col>
      <xdr:colOff>152400</xdr:colOff>
      <xdr:row>71</xdr:row>
      <xdr:rowOff>114300</xdr:rowOff>
    </xdr:to>
    <xdr:graphicFrame>
      <xdr:nvGraphicFramePr>
        <xdr:cNvPr id="235663" name="Chart 16"/>
        <xdr:cNvGraphicFramePr/>
      </xdr:nvGraphicFramePr>
      <xdr:xfrm>
        <a:off x="38100" y="9324975"/>
        <a:ext cx="9753600" cy="192405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57150</xdr:colOff>
      <xdr:row>73</xdr:row>
      <xdr:rowOff>9525</xdr:rowOff>
    </xdr:from>
    <xdr:to>
      <xdr:col>18</xdr:col>
      <xdr:colOff>152400</xdr:colOff>
      <xdr:row>81</xdr:row>
      <xdr:rowOff>114300</xdr:rowOff>
    </xdr:to>
    <xdr:graphicFrame>
      <xdr:nvGraphicFramePr>
        <xdr:cNvPr id="235664" name="Chart 17"/>
        <xdr:cNvGraphicFramePr/>
      </xdr:nvGraphicFramePr>
      <xdr:xfrm>
        <a:off x="57150" y="11449050"/>
        <a:ext cx="9734550" cy="132397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36.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6705" name="Chart 1"/>
        <xdr:cNvGraphicFramePr/>
      </xdr:nvGraphicFramePr>
      <xdr:xfrm>
        <a:off x="0" y="323850"/>
        <a:ext cx="33337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36706" name="Chart 2"/>
        <xdr:cNvGraphicFramePr/>
      </xdr:nvGraphicFramePr>
      <xdr:xfrm>
        <a:off x="3390900"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6707" name="Chart 3"/>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6708" name="Chart 4"/>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6709" name="Chart 5"/>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6710" name="Chart 6"/>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36711" name="Chart 7"/>
        <xdr:cNvGraphicFramePr/>
      </xdr:nvGraphicFramePr>
      <xdr:xfrm>
        <a:off x="295275" y="323850"/>
        <a:ext cx="277177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36712" name="Chart 8"/>
        <xdr:cNvGraphicFramePr/>
      </xdr:nvGraphicFramePr>
      <xdr:xfrm>
        <a:off x="3305175"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36713" name="Chart 9"/>
        <xdr:cNvGraphicFramePr/>
      </xdr:nvGraphicFramePr>
      <xdr:xfrm>
        <a:off x="28575" y="323850"/>
        <a:ext cx="30384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36714" name="Chart 10"/>
        <xdr:cNvGraphicFramePr/>
      </xdr:nvGraphicFramePr>
      <xdr:xfrm>
        <a:off x="3314700"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36715" name="Chart 11"/>
        <xdr:cNvGraphicFramePr/>
      </xdr:nvGraphicFramePr>
      <xdr:xfrm>
        <a:off x="38100" y="323850"/>
        <a:ext cx="5105400"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36716" name="Chart 12"/>
        <xdr:cNvGraphicFramePr/>
      </xdr:nvGraphicFramePr>
      <xdr:xfrm>
        <a:off x="5400675" y="323850"/>
        <a:ext cx="465772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36717" name="Chart 13"/>
        <xdr:cNvGraphicFramePr/>
      </xdr:nvGraphicFramePr>
      <xdr:xfrm>
        <a:off x="57150" y="323850"/>
        <a:ext cx="5038725"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36718" name="Chart 14"/>
        <xdr:cNvGraphicFramePr/>
      </xdr:nvGraphicFramePr>
      <xdr:xfrm>
        <a:off x="5267325" y="323850"/>
        <a:ext cx="479107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36719" name="Chart 15"/>
        <xdr:cNvGraphicFramePr/>
      </xdr:nvGraphicFramePr>
      <xdr:xfrm>
        <a:off x="0" y="323850"/>
        <a:ext cx="5076825"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36720" name="Chart 16"/>
        <xdr:cNvGraphicFramePr/>
      </xdr:nvGraphicFramePr>
      <xdr:xfrm>
        <a:off x="5257800" y="323850"/>
        <a:ext cx="480060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36721" name="Chart 17"/>
        <xdr:cNvGraphicFramePr/>
      </xdr:nvGraphicFramePr>
      <xdr:xfrm>
        <a:off x="0" y="323850"/>
        <a:ext cx="5095875"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590550</xdr:colOff>
      <xdr:row>29</xdr:row>
      <xdr:rowOff>114300</xdr:rowOff>
    </xdr:to>
    <xdr:graphicFrame>
      <xdr:nvGraphicFramePr>
        <xdr:cNvPr id="236722" name="Chart 18"/>
        <xdr:cNvGraphicFramePr/>
      </xdr:nvGraphicFramePr>
      <xdr:xfrm>
        <a:off x="0" y="2914650"/>
        <a:ext cx="5191125" cy="16383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85725</xdr:colOff>
      <xdr:row>19</xdr:row>
      <xdr:rowOff>0</xdr:rowOff>
    </xdr:from>
    <xdr:to>
      <xdr:col>14</xdr:col>
      <xdr:colOff>790575</xdr:colOff>
      <xdr:row>29</xdr:row>
      <xdr:rowOff>123825</xdr:rowOff>
    </xdr:to>
    <xdr:graphicFrame>
      <xdr:nvGraphicFramePr>
        <xdr:cNvPr id="236723" name="Chart 19"/>
        <xdr:cNvGraphicFramePr/>
      </xdr:nvGraphicFramePr>
      <xdr:xfrm>
        <a:off x="5343525" y="2914650"/>
        <a:ext cx="4648200" cy="164782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31</xdr:row>
      <xdr:rowOff>19050</xdr:rowOff>
    </xdr:from>
    <xdr:to>
      <xdr:col>7</xdr:col>
      <xdr:colOff>552450</xdr:colOff>
      <xdr:row>41</xdr:row>
      <xdr:rowOff>114300</xdr:rowOff>
    </xdr:to>
    <xdr:graphicFrame>
      <xdr:nvGraphicFramePr>
        <xdr:cNvPr id="236724" name="Chart 20"/>
        <xdr:cNvGraphicFramePr/>
      </xdr:nvGraphicFramePr>
      <xdr:xfrm>
        <a:off x="0" y="4762500"/>
        <a:ext cx="5153025"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7.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7729" name="Chart 1"/>
        <xdr:cNvGraphicFramePr/>
      </xdr:nvGraphicFramePr>
      <xdr:xfrm>
        <a:off x="0" y="323850"/>
        <a:ext cx="33337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37730" name="Chart 2"/>
        <xdr:cNvGraphicFramePr/>
      </xdr:nvGraphicFramePr>
      <xdr:xfrm>
        <a:off x="3390900"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7731" name="Chart 3"/>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7732" name="Chart 4"/>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7733" name="Chart 5"/>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7734" name="Chart 6"/>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37735" name="Chart 7"/>
        <xdr:cNvGraphicFramePr/>
      </xdr:nvGraphicFramePr>
      <xdr:xfrm>
        <a:off x="295275" y="323850"/>
        <a:ext cx="277177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37736" name="Chart 8"/>
        <xdr:cNvGraphicFramePr/>
      </xdr:nvGraphicFramePr>
      <xdr:xfrm>
        <a:off x="3305175"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37737" name="Chart 9"/>
        <xdr:cNvGraphicFramePr/>
      </xdr:nvGraphicFramePr>
      <xdr:xfrm>
        <a:off x="28575" y="323850"/>
        <a:ext cx="30384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37738" name="Chart 10"/>
        <xdr:cNvGraphicFramePr/>
      </xdr:nvGraphicFramePr>
      <xdr:xfrm>
        <a:off x="3314700"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37739" name="Chart 11"/>
        <xdr:cNvGraphicFramePr/>
      </xdr:nvGraphicFramePr>
      <xdr:xfrm>
        <a:off x="38100" y="323850"/>
        <a:ext cx="5105400"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37740" name="Chart 12"/>
        <xdr:cNvGraphicFramePr/>
      </xdr:nvGraphicFramePr>
      <xdr:xfrm>
        <a:off x="5400675" y="323850"/>
        <a:ext cx="465772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37741" name="Chart 13"/>
        <xdr:cNvGraphicFramePr/>
      </xdr:nvGraphicFramePr>
      <xdr:xfrm>
        <a:off x="57150" y="323850"/>
        <a:ext cx="5038725"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37742" name="Chart 14"/>
        <xdr:cNvGraphicFramePr/>
      </xdr:nvGraphicFramePr>
      <xdr:xfrm>
        <a:off x="5267325" y="323850"/>
        <a:ext cx="479107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37743" name="Chart 15"/>
        <xdr:cNvGraphicFramePr/>
      </xdr:nvGraphicFramePr>
      <xdr:xfrm>
        <a:off x="0" y="323850"/>
        <a:ext cx="5076825"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37744" name="Chart 16"/>
        <xdr:cNvGraphicFramePr/>
      </xdr:nvGraphicFramePr>
      <xdr:xfrm>
        <a:off x="5257800" y="323850"/>
        <a:ext cx="480060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37745" name="Chart 17"/>
        <xdr:cNvGraphicFramePr/>
      </xdr:nvGraphicFramePr>
      <xdr:xfrm>
        <a:off x="0" y="323850"/>
        <a:ext cx="5095875"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552450</xdr:colOff>
      <xdr:row>30</xdr:row>
      <xdr:rowOff>0</xdr:rowOff>
    </xdr:to>
    <xdr:graphicFrame>
      <xdr:nvGraphicFramePr>
        <xdr:cNvPr id="237746" name="Chart 18"/>
        <xdr:cNvGraphicFramePr/>
      </xdr:nvGraphicFramePr>
      <xdr:xfrm>
        <a:off x="0" y="2914650"/>
        <a:ext cx="5153025" cy="16764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38100</xdr:colOff>
      <xdr:row>19</xdr:row>
      <xdr:rowOff>0</xdr:rowOff>
    </xdr:from>
    <xdr:to>
      <xdr:col>14</xdr:col>
      <xdr:colOff>742315</xdr:colOff>
      <xdr:row>29</xdr:row>
      <xdr:rowOff>142875</xdr:rowOff>
    </xdr:to>
    <xdr:graphicFrame>
      <xdr:nvGraphicFramePr>
        <xdr:cNvPr id="237747" name="Chart 19"/>
        <xdr:cNvGraphicFramePr/>
      </xdr:nvGraphicFramePr>
      <xdr:xfrm>
        <a:off x="5295900" y="2914650"/>
        <a:ext cx="4647565" cy="166687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30</xdr:row>
      <xdr:rowOff>142875</xdr:rowOff>
    </xdr:from>
    <xdr:to>
      <xdr:col>7</xdr:col>
      <xdr:colOff>542925</xdr:colOff>
      <xdr:row>41</xdr:row>
      <xdr:rowOff>85725</xdr:rowOff>
    </xdr:to>
    <xdr:graphicFrame>
      <xdr:nvGraphicFramePr>
        <xdr:cNvPr id="237748" name="Chart 20"/>
        <xdr:cNvGraphicFramePr/>
      </xdr:nvGraphicFramePr>
      <xdr:xfrm>
        <a:off x="19050" y="4733925"/>
        <a:ext cx="5124450"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8.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8753" name="Chart 1"/>
        <xdr:cNvGraphicFramePr/>
      </xdr:nvGraphicFramePr>
      <xdr:xfrm>
        <a:off x="0" y="323850"/>
        <a:ext cx="33337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38754" name="Chart 2"/>
        <xdr:cNvGraphicFramePr/>
      </xdr:nvGraphicFramePr>
      <xdr:xfrm>
        <a:off x="3390900"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8755" name="Chart 3"/>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8756" name="Chart 4"/>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8757" name="Chart 5"/>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8758" name="Chart 6"/>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38759" name="Chart 7"/>
        <xdr:cNvGraphicFramePr/>
      </xdr:nvGraphicFramePr>
      <xdr:xfrm>
        <a:off x="295275" y="323850"/>
        <a:ext cx="277177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38760" name="Chart 8"/>
        <xdr:cNvGraphicFramePr/>
      </xdr:nvGraphicFramePr>
      <xdr:xfrm>
        <a:off x="3305175"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38761" name="Chart 9"/>
        <xdr:cNvGraphicFramePr/>
      </xdr:nvGraphicFramePr>
      <xdr:xfrm>
        <a:off x="28575" y="323850"/>
        <a:ext cx="30384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38762" name="Chart 10"/>
        <xdr:cNvGraphicFramePr/>
      </xdr:nvGraphicFramePr>
      <xdr:xfrm>
        <a:off x="3314700"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38763" name="Chart 11"/>
        <xdr:cNvGraphicFramePr/>
      </xdr:nvGraphicFramePr>
      <xdr:xfrm>
        <a:off x="38100" y="323850"/>
        <a:ext cx="5105400"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38764" name="Chart 12"/>
        <xdr:cNvGraphicFramePr/>
      </xdr:nvGraphicFramePr>
      <xdr:xfrm>
        <a:off x="5400675" y="323850"/>
        <a:ext cx="465772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38765" name="Chart 13"/>
        <xdr:cNvGraphicFramePr/>
      </xdr:nvGraphicFramePr>
      <xdr:xfrm>
        <a:off x="57150" y="323850"/>
        <a:ext cx="5038725"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38766" name="Chart 14"/>
        <xdr:cNvGraphicFramePr/>
      </xdr:nvGraphicFramePr>
      <xdr:xfrm>
        <a:off x="5267325" y="323850"/>
        <a:ext cx="479107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38767" name="Chart 15"/>
        <xdr:cNvGraphicFramePr/>
      </xdr:nvGraphicFramePr>
      <xdr:xfrm>
        <a:off x="0" y="323850"/>
        <a:ext cx="5076825"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38768" name="Chart 16"/>
        <xdr:cNvGraphicFramePr/>
      </xdr:nvGraphicFramePr>
      <xdr:xfrm>
        <a:off x="5257800" y="323850"/>
        <a:ext cx="480060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38769" name="Chart 17"/>
        <xdr:cNvGraphicFramePr/>
      </xdr:nvGraphicFramePr>
      <xdr:xfrm>
        <a:off x="0" y="323850"/>
        <a:ext cx="5095875"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571500</xdr:colOff>
      <xdr:row>30</xdr:row>
      <xdr:rowOff>0</xdr:rowOff>
    </xdr:to>
    <xdr:graphicFrame>
      <xdr:nvGraphicFramePr>
        <xdr:cNvPr id="238770" name="Chart 18"/>
        <xdr:cNvGraphicFramePr/>
      </xdr:nvGraphicFramePr>
      <xdr:xfrm>
        <a:off x="0" y="2914650"/>
        <a:ext cx="5172075" cy="16764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85725</xdr:colOff>
      <xdr:row>19</xdr:row>
      <xdr:rowOff>0</xdr:rowOff>
    </xdr:from>
    <xdr:to>
      <xdr:col>14</xdr:col>
      <xdr:colOff>772160</xdr:colOff>
      <xdr:row>29</xdr:row>
      <xdr:rowOff>142875</xdr:rowOff>
    </xdr:to>
    <xdr:graphicFrame>
      <xdr:nvGraphicFramePr>
        <xdr:cNvPr id="238771" name="Chart 19"/>
        <xdr:cNvGraphicFramePr/>
      </xdr:nvGraphicFramePr>
      <xdr:xfrm>
        <a:off x="5343525" y="2914650"/>
        <a:ext cx="4629785" cy="166687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30</xdr:row>
      <xdr:rowOff>142875</xdr:rowOff>
    </xdr:from>
    <xdr:to>
      <xdr:col>7</xdr:col>
      <xdr:colOff>561975</xdr:colOff>
      <xdr:row>41</xdr:row>
      <xdr:rowOff>85725</xdr:rowOff>
    </xdr:to>
    <xdr:graphicFrame>
      <xdr:nvGraphicFramePr>
        <xdr:cNvPr id="238772" name="Chart 20"/>
        <xdr:cNvGraphicFramePr/>
      </xdr:nvGraphicFramePr>
      <xdr:xfrm>
        <a:off x="19050" y="4733925"/>
        <a:ext cx="5143500"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9.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39777" name="Chart 1"/>
        <xdr:cNvGraphicFramePr/>
      </xdr:nvGraphicFramePr>
      <xdr:xfrm>
        <a:off x="0" y="323850"/>
        <a:ext cx="33337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39778" name="Chart 2"/>
        <xdr:cNvGraphicFramePr/>
      </xdr:nvGraphicFramePr>
      <xdr:xfrm>
        <a:off x="3390900"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9779" name="Chart 3"/>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9780" name="Chart 4"/>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39781" name="Chart 5"/>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39782" name="Chart 6"/>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39783" name="Chart 7"/>
        <xdr:cNvGraphicFramePr/>
      </xdr:nvGraphicFramePr>
      <xdr:xfrm>
        <a:off x="295275" y="323850"/>
        <a:ext cx="277177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39784" name="Chart 8"/>
        <xdr:cNvGraphicFramePr/>
      </xdr:nvGraphicFramePr>
      <xdr:xfrm>
        <a:off x="3305175"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39785" name="Chart 9"/>
        <xdr:cNvGraphicFramePr/>
      </xdr:nvGraphicFramePr>
      <xdr:xfrm>
        <a:off x="28575" y="323850"/>
        <a:ext cx="30384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39786" name="Chart 10"/>
        <xdr:cNvGraphicFramePr/>
      </xdr:nvGraphicFramePr>
      <xdr:xfrm>
        <a:off x="3314700"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39787" name="Chart 11"/>
        <xdr:cNvGraphicFramePr/>
      </xdr:nvGraphicFramePr>
      <xdr:xfrm>
        <a:off x="38100" y="323850"/>
        <a:ext cx="5105400"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39788" name="Chart 12"/>
        <xdr:cNvGraphicFramePr/>
      </xdr:nvGraphicFramePr>
      <xdr:xfrm>
        <a:off x="5400675" y="323850"/>
        <a:ext cx="465772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39789" name="Chart 13"/>
        <xdr:cNvGraphicFramePr/>
      </xdr:nvGraphicFramePr>
      <xdr:xfrm>
        <a:off x="57150" y="323850"/>
        <a:ext cx="5038725"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39790" name="Chart 14"/>
        <xdr:cNvGraphicFramePr/>
      </xdr:nvGraphicFramePr>
      <xdr:xfrm>
        <a:off x="5267325" y="323850"/>
        <a:ext cx="479107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39791" name="Chart 15"/>
        <xdr:cNvGraphicFramePr/>
      </xdr:nvGraphicFramePr>
      <xdr:xfrm>
        <a:off x="0" y="323850"/>
        <a:ext cx="5076825"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39792" name="Chart 16"/>
        <xdr:cNvGraphicFramePr/>
      </xdr:nvGraphicFramePr>
      <xdr:xfrm>
        <a:off x="5257800" y="323850"/>
        <a:ext cx="480060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39793" name="Chart 17"/>
        <xdr:cNvGraphicFramePr/>
      </xdr:nvGraphicFramePr>
      <xdr:xfrm>
        <a:off x="0" y="323850"/>
        <a:ext cx="5095875"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590550</xdr:colOff>
      <xdr:row>29</xdr:row>
      <xdr:rowOff>114300</xdr:rowOff>
    </xdr:to>
    <xdr:graphicFrame>
      <xdr:nvGraphicFramePr>
        <xdr:cNvPr id="239794" name="Chart 18"/>
        <xdr:cNvGraphicFramePr/>
      </xdr:nvGraphicFramePr>
      <xdr:xfrm>
        <a:off x="0" y="2914650"/>
        <a:ext cx="5191125" cy="16383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9525</xdr:colOff>
      <xdr:row>19</xdr:row>
      <xdr:rowOff>0</xdr:rowOff>
    </xdr:from>
    <xdr:to>
      <xdr:col>14</xdr:col>
      <xdr:colOff>800100</xdr:colOff>
      <xdr:row>29</xdr:row>
      <xdr:rowOff>123825</xdr:rowOff>
    </xdr:to>
    <xdr:graphicFrame>
      <xdr:nvGraphicFramePr>
        <xdr:cNvPr id="239795" name="Chart 19"/>
        <xdr:cNvGraphicFramePr/>
      </xdr:nvGraphicFramePr>
      <xdr:xfrm>
        <a:off x="5267325" y="2914650"/>
        <a:ext cx="4733925" cy="164782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31</xdr:row>
      <xdr:rowOff>19050</xdr:rowOff>
    </xdr:from>
    <xdr:to>
      <xdr:col>7</xdr:col>
      <xdr:colOff>581025</xdr:colOff>
      <xdr:row>41</xdr:row>
      <xdr:rowOff>114300</xdr:rowOff>
    </xdr:to>
    <xdr:graphicFrame>
      <xdr:nvGraphicFramePr>
        <xdr:cNvPr id="239796" name="Chart 20"/>
        <xdr:cNvGraphicFramePr/>
      </xdr:nvGraphicFramePr>
      <xdr:xfrm>
        <a:off x="0" y="4762500"/>
        <a:ext cx="5181600"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4</xdr:col>
      <xdr:colOff>295910</xdr:colOff>
      <xdr:row>0</xdr:row>
      <xdr:rowOff>83185</xdr:rowOff>
    </xdr:from>
    <xdr:to>
      <xdr:col>4</xdr:col>
      <xdr:colOff>904240</xdr:colOff>
      <xdr:row>2</xdr:row>
      <xdr:rowOff>1905</xdr:rowOff>
    </xdr:to>
    <xdr:sp>
      <xdr:nvSpPr>
        <xdr:cNvPr id="194569" name="WordArt 1"/>
        <xdr:cNvSpPr/>
      </xdr:nvSpPr>
      <xdr:spPr>
        <a:xfrm>
          <a:off x="7592060" y="83185"/>
          <a:ext cx="608330" cy="4044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40.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40801" name="Chart 1"/>
        <xdr:cNvGraphicFramePr/>
      </xdr:nvGraphicFramePr>
      <xdr:xfrm>
        <a:off x="0" y="323850"/>
        <a:ext cx="33337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40802" name="Chart 2"/>
        <xdr:cNvGraphicFramePr/>
      </xdr:nvGraphicFramePr>
      <xdr:xfrm>
        <a:off x="3390900"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0803" name="Chart 3"/>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0804" name="Chart 4"/>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0805" name="Chart 5"/>
        <xdr:cNvGraphicFramePr/>
      </xdr:nvGraphicFramePr>
      <xdr:xfrm>
        <a:off x="47625" y="323850"/>
        <a:ext cx="25812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0806" name="Chart 6"/>
        <xdr:cNvGraphicFramePr/>
      </xdr:nvGraphicFramePr>
      <xdr:xfrm>
        <a:off x="3286125"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40807" name="Chart 7"/>
        <xdr:cNvGraphicFramePr/>
      </xdr:nvGraphicFramePr>
      <xdr:xfrm>
        <a:off x="295275" y="323850"/>
        <a:ext cx="2771775"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40808" name="Chart 8"/>
        <xdr:cNvGraphicFramePr/>
      </xdr:nvGraphicFramePr>
      <xdr:xfrm>
        <a:off x="3305175"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40809" name="Chart 9"/>
        <xdr:cNvGraphicFramePr/>
      </xdr:nvGraphicFramePr>
      <xdr:xfrm>
        <a:off x="28575" y="323850"/>
        <a:ext cx="30384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40810" name="Chart 10"/>
        <xdr:cNvGraphicFramePr/>
      </xdr:nvGraphicFramePr>
      <xdr:xfrm>
        <a:off x="3314700"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40811" name="Chart 11"/>
        <xdr:cNvGraphicFramePr/>
      </xdr:nvGraphicFramePr>
      <xdr:xfrm>
        <a:off x="38100" y="323850"/>
        <a:ext cx="5105400"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40812" name="Chart 12"/>
        <xdr:cNvGraphicFramePr/>
      </xdr:nvGraphicFramePr>
      <xdr:xfrm>
        <a:off x="5400675" y="323850"/>
        <a:ext cx="465772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40813" name="Chart 13"/>
        <xdr:cNvGraphicFramePr/>
      </xdr:nvGraphicFramePr>
      <xdr:xfrm>
        <a:off x="57150" y="323850"/>
        <a:ext cx="5038725"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40814" name="Chart 14"/>
        <xdr:cNvGraphicFramePr/>
      </xdr:nvGraphicFramePr>
      <xdr:xfrm>
        <a:off x="5267325" y="323850"/>
        <a:ext cx="479107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40815" name="Chart 15"/>
        <xdr:cNvGraphicFramePr/>
      </xdr:nvGraphicFramePr>
      <xdr:xfrm>
        <a:off x="0" y="323850"/>
        <a:ext cx="5076825"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40816" name="Chart 16"/>
        <xdr:cNvGraphicFramePr/>
      </xdr:nvGraphicFramePr>
      <xdr:xfrm>
        <a:off x="5257800" y="323850"/>
        <a:ext cx="480060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40817" name="Chart 17"/>
        <xdr:cNvGraphicFramePr/>
      </xdr:nvGraphicFramePr>
      <xdr:xfrm>
        <a:off x="0" y="323850"/>
        <a:ext cx="5095875"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561975</xdr:colOff>
      <xdr:row>30</xdr:row>
      <xdr:rowOff>0</xdr:rowOff>
    </xdr:to>
    <xdr:graphicFrame>
      <xdr:nvGraphicFramePr>
        <xdr:cNvPr id="240818" name="Chart 18"/>
        <xdr:cNvGraphicFramePr/>
      </xdr:nvGraphicFramePr>
      <xdr:xfrm>
        <a:off x="0" y="2914650"/>
        <a:ext cx="5162550" cy="16764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9525</xdr:colOff>
      <xdr:row>19</xdr:row>
      <xdr:rowOff>0</xdr:rowOff>
    </xdr:from>
    <xdr:to>
      <xdr:col>14</xdr:col>
      <xdr:colOff>781050</xdr:colOff>
      <xdr:row>29</xdr:row>
      <xdr:rowOff>142875</xdr:rowOff>
    </xdr:to>
    <xdr:graphicFrame>
      <xdr:nvGraphicFramePr>
        <xdr:cNvPr id="240819" name="Chart 19"/>
        <xdr:cNvGraphicFramePr/>
      </xdr:nvGraphicFramePr>
      <xdr:xfrm>
        <a:off x="5267325" y="2914650"/>
        <a:ext cx="4714875" cy="166687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30</xdr:row>
      <xdr:rowOff>142875</xdr:rowOff>
    </xdr:from>
    <xdr:to>
      <xdr:col>7</xdr:col>
      <xdr:colOff>552450</xdr:colOff>
      <xdr:row>41</xdr:row>
      <xdr:rowOff>85725</xdr:rowOff>
    </xdr:to>
    <xdr:graphicFrame>
      <xdr:nvGraphicFramePr>
        <xdr:cNvPr id="240820" name="Chart 20"/>
        <xdr:cNvGraphicFramePr/>
      </xdr:nvGraphicFramePr>
      <xdr:xfrm>
        <a:off x="19050" y="4733925"/>
        <a:ext cx="5133975"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41825" name="Chart 1"/>
        <xdr:cNvGraphicFramePr/>
      </xdr:nvGraphicFramePr>
      <xdr:xfrm>
        <a:off x="0" y="323850"/>
        <a:ext cx="3305175"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41826" name="Chart 2"/>
        <xdr:cNvGraphicFramePr/>
      </xdr:nvGraphicFramePr>
      <xdr:xfrm>
        <a:off x="3362325"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1827" name="Chart 3"/>
        <xdr:cNvGraphicFramePr/>
      </xdr:nvGraphicFramePr>
      <xdr:xfrm>
        <a:off x="47625" y="323850"/>
        <a:ext cx="2552700"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1828" name="Chart 4"/>
        <xdr:cNvGraphicFramePr/>
      </xdr:nvGraphicFramePr>
      <xdr:xfrm>
        <a:off x="3257550"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1829" name="Chart 5"/>
        <xdr:cNvGraphicFramePr/>
      </xdr:nvGraphicFramePr>
      <xdr:xfrm>
        <a:off x="47625" y="323850"/>
        <a:ext cx="2552700"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1830" name="Chart 6"/>
        <xdr:cNvGraphicFramePr/>
      </xdr:nvGraphicFramePr>
      <xdr:xfrm>
        <a:off x="3257550"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41831" name="Chart 7"/>
        <xdr:cNvGraphicFramePr/>
      </xdr:nvGraphicFramePr>
      <xdr:xfrm>
        <a:off x="295275" y="323850"/>
        <a:ext cx="2743200"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41832" name="Chart 8"/>
        <xdr:cNvGraphicFramePr/>
      </xdr:nvGraphicFramePr>
      <xdr:xfrm>
        <a:off x="3276600"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41833" name="Chart 9"/>
        <xdr:cNvGraphicFramePr/>
      </xdr:nvGraphicFramePr>
      <xdr:xfrm>
        <a:off x="28575" y="323850"/>
        <a:ext cx="3009900"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41834" name="Chart 10"/>
        <xdr:cNvGraphicFramePr/>
      </xdr:nvGraphicFramePr>
      <xdr:xfrm>
        <a:off x="3286125"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41835" name="Chart 11"/>
        <xdr:cNvGraphicFramePr/>
      </xdr:nvGraphicFramePr>
      <xdr:xfrm>
        <a:off x="38100" y="323850"/>
        <a:ext cx="5076825"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41836" name="Chart 12"/>
        <xdr:cNvGraphicFramePr/>
      </xdr:nvGraphicFramePr>
      <xdr:xfrm>
        <a:off x="5372100" y="323850"/>
        <a:ext cx="4562475"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41837" name="Chart 13"/>
        <xdr:cNvGraphicFramePr/>
      </xdr:nvGraphicFramePr>
      <xdr:xfrm>
        <a:off x="57150" y="323850"/>
        <a:ext cx="5010150"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41838" name="Chart 14"/>
        <xdr:cNvGraphicFramePr/>
      </xdr:nvGraphicFramePr>
      <xdr:xfrm>
        <a:off x="5238750" y="323850"/>
        <a:ext cx="4695825"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41839" name="Chart 15"/>
        <xdr:cNvGraphicFramePr/>
      </xdr:nvGraphicFramePr>
      <xdr:xfrm>
        <a:off x="0" y="323850"/>
        <a:ext cx="5048250"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41840" name="Chart 16"/>
        <xdr:cNvGraphicFramePr/>
      </xdr:nvGraphicFramePr>
      <xdr:xfrm>
        <a:off x="5229225" y="323850"/>
        <a:ext cx="4705350"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41841" name="Chart 17"/>
        <xdr:cNvGraphicFramePr/>
      </xdr:nvGraphicFramePr>
      <xdr:xfrm>
        <a:off x="0" y="323850"/>
        <a:ext cx="5067300"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0</xdr:rowOff>
    </xdr:from>
    <xdr:to>
      <xdr:col>7</xdr:col>
      <xdr:colOff>590550</xdr:colOff>
      <xdr:row>30</xdr:row>
      <xdr:rowOff>0</xdr:rowOff>
    </xdr:to>
    <xdr:graphicFrame>
      <xdr:nvGraphicFramePr>
        <xdr:cNvPr id="241842" name="Chart 18"/>
        <xdr:cNvGraphicFramePr/>
      </xdr:nvGraphicFramePr>
      <xdr:xfrm>
        <a:off x="0" y="2914650"/>
        <a:ext cx="5162550" cy="16764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95250</xdr:colOff>
      <xdr:row>19</xdr:row>
      <xdr:rowOff>0</xdr:rowOff>
    </xdr:from>
    <xdr:to>
      <xdr:col>14</xdr:col>
      <xdr:colOff>666750</xdr:colOff>
      <xdr:row>29</xdr:row>
      <xdr:rowOff>142875</xdr:rowOff>
    </xdr:to>
    <xdr:graphicFrame>
      <xdr:nvGraphicFramePr>
        <xdr:cNvPr id="241843" name="Chart 19"/>
        <xdr:cNvGraphicFramePr/>
      </xdr:nvGraphicFramePr>
      <xdr:xfrm>
        <a:off x="5324475" y="2914650"/>
        <a:ext cx="4514850" cy="166687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30</xdr:row>
      <xdr:rowOff>142875</xdr:rowOff>
    </xdr:from>
    <xdr:to>
      <xdr:col>7</xdr:col>
      <xdr:colOff>571500</xdr:colOff>
      <xdr:row>41</xdr:row>
      <xdr:rowOff>85725</xdr:rowOff>
    </xdr:to>
    <xdr:graphicFrame>
      <xdr:nvGraphicFramePr>
        <xdr:cNvPr id="241844" name="Chart 20"/>
        <xdr:cNvGraphicFramePr/>
      </xdr:nvGraphicFramePr>
      <xdr:xfrm>
        <a:off x="19050" y="4733925"/>
        <a:ext cx="5124450"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242849" name="Chart 1"/>
        <xdr:cNvGraphicFramePr/>
      </xdr:nvGraphicFramePr>
      <xdr:xfrm>
        <a:off x="0" y="323850"/>
        <a:ext cx="3343275"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242850" name="Chart 2"/>
        <xdr:cNvGraphicFramePr/>
      </xdr:nvGraphicFramePr>
      <xdr:xfrm>
        <a:off x="3400425" y="323850"/>
        <a:ext cx="3629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2851" name="Chart 3"/>
        <xdr:cNvGraphicFramePr/>
      </xdr:nvGraphicFramePr>
      <xdr:xfrm>
        <a:off x="47625" y="323850"/>
        <a:ext cx="2590800"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2852" name="Chart 4"/>
        <xdr:cNvGraphicFramePr/>
      </xdr:nvGraphicFramePr>
      <xdr:xfrm>
        <a:off x="3295650" y="323850"/>
        <a:ext cx="3638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242853" name="Chart 5"/>
        <xdr:cNvGraphicFramePr/>
      </xdr:nvGraphicFramePr>
      <xdr:xfrm>
        <a:off x="47625" y="323850"/>
        <a:ext cx="2590800"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242854" name="Chart 6"/>
        <xdr:cNvGraphicFramePr/>
      </xdr:nvGraphicFramePr>
      <xdr:xfrm>
        <a:off x="3295650" y="323850"/>
        <a:ext cx="3638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295275</xdr:colOff>
      <xdr:row>2</xdr:row>
      <xdr:rowOff>0</xdr:rowOff>
    </xdr:from>
    <xdr:to>
      <xdr:col>4</xdr:col>
      <xdr:colOff>438150</xdr:colOff>
      <xdr:row>2</xdr:row>
      <xdr:rowOff>9525</xdr:rowOff>
    </xdr:to>
    <xdr:graphicFrame>
      <xdr:nvGraphicFramePr>
        <xdr:cNvPr id="242855" name="Chart 7"/>
        <xdr:cNvGraphicFramePr/>
      </xdr:nvGraphicFramePr>
      <xdr:xfrm>
        <a:off x="295275" y="323850"/>
        <a:ext cx="2781300"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2</xdr:row>
      <xdr:rowOff>0</xdr:rowOff>
    </xdr:from>
    <xdr:to>
      <xdr:col>12</xdr:col>
      <xdr:colOff>571500</xdr:colOff>
      <xdr:row>2</xdr:row>
      <xdr:rowOff>9525</xdr:rowOff>
    </xdr:to>
    <xdr:graphicFrame>
      <xdr:nvGraphicFramePr>
        <xdr:cNvPr id="242856" name="Chart 8"/>
        <xdr:cNvGraphicFramePr/>
      </xdr:nvGraphicFramePr>
      <xdr:xfrm>
        <a:off x="3314700" y="323850"/>
        <a:ext cx="51530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xdr:row>
      <xdr:rowOff>0</xdr:rowOff>
    </xdr:from>
    <xdr:to>
      <xdr:col>4</xdr:col>
      <xdr:colOff>438150</xdr:colOff>
      <xdr:row>2</xdr:row>
      <xdr:rowOff>9525</xdr:rowOff>
    </xdr:to>
    <xdr:graphicFrame>
      <xdr:nvGraphicFramePr>
        <xdr:cNvPr id="242857" name="Chart 9"/>
        <xdr:cNvGraphicFramePr/>
      </xdr:nvGraphicFramePr>
      <xdr:xfrm>
        <a:off x="28575" y="323850"/>
        <a:ext cx="3048000"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2</xdr:row>
      <xdr:rowOff>0</xdr:rowOff>
    </xdr:from>
    <xdr:to>
      <xdr:col>12</xdr:col>
      <xdr:colOff>571500</xdr:colOff>
      <xdr:row>2</xdr:row>
      <xdr:rowOff>9525</xdr:rowOff>
    </xdr:to>
    <xdr:graphicFrame>
      <xdr:nvGraphicFramePr>
        <xdr:cNvPr id="242858" name="Chart 10"/>
        <xdr:cNvGraphicFramePr/>
      </xdr:nvGraphicFramePr>
      <xdr:xfrm>
        <a:off x="3324225" y="323850"/>
        <a:ext cx="51435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xdr:row>
      <xdr:rowOff>0</xdr:rowOff>
    </xdr:from>
    <xdr:to>
      <xdr:col>7</xdr:col>
      <xdr:colOff>542925</xdr:colOff>
      <xdr:row>2</xdr:row>
      <xdr:rowOff>9525</xdr:rowOff>
    </xdr:to>
    <xdr:graphicFrame>
      <xdr:nvGraphicFramePr>
        <xdr:cNvPr id="242859" name="Chart 11"/>
        <xdr:cNvGraphicFramePr/>
      </xdr:nvGraphicFramePr>
      <xdr:xfrm>
        <a:off x="38100" y="323850"/>
        <a:ext cx="5114925" cy="952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xdr:row>
      <xdr:rowOff>0</xdr:rowOff>
    </xdr:from>
    <xdr:to>
      <xdr:col>15</xdr:col>
      <xdr:colOff>0</xdr:colOff>
      <xdr:row>2</xdr:row>
      <xdr:rowOff>9525</xdr:rowOff>
    </xdr:to>
    <xdr:graphicFrame>
      <xdr:nvGraphicFramePr>
        <xdr:cNvPr id="242860" name="Chart 12"/>
        <xdr:cNvGraphicFramePr/>
      </xdr:nvGraphicFramePr>
      <xdr:xfrm>
        <a:off x="5410200" y="323850"/>
        <a:ext cx="4686300" cy="9525"/>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2</xdr:row>
      <xdr:rowOff>0</xdr:rowOff>
    </xdr:from>
    <xdr:to>
      <xdr:col>7</xdr:col>
      <xdr:colOff>495300</xdr:colOff>
      <xdr:row>2</xdr:row>
      <xdr:rowOff>9525</xdr:rowOff>
    </xdr:to>
    <xdr:graphicFrame>
      <xdr:nvGraphicFramePr>
        <xdr:cNvPr id="242861" name="Chart 13"/>
        <xdr:cNvGraphicFramePr/>
      </xdr:nvGraphicFramePr>
      <xdr:xfrm>
        <a:off x="57150" y="323850"/>
        <a:ext cx="5048250" cy="9525"/>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2</xdr:row>
      <xdr:rowOff>0</xdr:rowOff>
    </xdr:from>
    <xdr:to>
      <xdr:col>15</xdr:col>
      <xdr:colOff>0</xdr:colOff>
      <xdr:row>2</xdr:row>
      <xdr:rowOff>9525</xdr:rowOff>
    </xdr:to>
    <xdr:graphicFrame>
      <xdr:nvGraphicFramePr>
        <xdr:cNvPr id="242862" name="Chart 14"/>
        <xdr:cNvGraphicFramePr/>
      </xdr:nvGraphicFramePr>
      <xdr:xfrm>
        <a:off x="5276850" y="323850"/>
        <a:ext cx="4819650" cy="9525"/>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xdr:row>
      <xdr:rowOff>0</xdr:rowOff>
    </xdr:from>
    <xdr:to>
      <xdr:col>7</xdr:col>
      <xdr:colOff>476250</xdr:colOff>
      <xdr:row>2</xdr:row>
      <xdr:rowOff>9525</xdr:rowOff>
    </xdr:to>
    <xdr:graphicFrame>
      <xdr:nvGraphicFramePr>
        <xdr:cNvPr id="242863" name="Chart 15"/>
        <xdr:cNvGraphicFramePr/>
      </xdr:nvGraphicFramePr>
      <xdr:xfrm>
        <a:off x="0" y="323850"/>
        <a:ext cx="5086350" cy="9525"/>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2</xdr:row>
      <xdr:rowOff>0</xdr:rowOff>
    </xdr:from>
    <xdr:to>
      <xdr:col>15</xdr:col>
      <xdr:colOff>0</xdr:colOff>
      <xdr:row>2</xdr:row>
      <xdr:rowOff>9525</xdr:rowOff>
    </xdr:to>
    <xdr:graphicFrame>
      <xdr:nvGraphicFramePr>
        <xdr:cNvPr id="242864" name="Chart 16"/>
        <xdr:cNvGraphicFramePr/>
      </xdr:nvGraphicFramePr>
      <xdr:xfrm>
        <a:off x="5267325" y="323850"/>
        <a:ext cx="4829175" cy="952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xdr:row>
      <xdr:rowOff>0</xdr:rowOff>
    </xdr:from>
    <xdr:to>
      <xdr:col>7</xdr:col>
      <xdr:colOff>495300</xdr:colOff>
      <xdr:row>2</xdr:row>
      <xdr:rowOff>9525</xdr:rowOff>
    </xdr:to>
    <xdr:graphicFrame>
      <xdr:nvGraphicFramePr>
        <xdr:cNvPr id="242865" name="Chart 17"/>
        <xdr:cNvGraphicFramePr/>
      </xdr:nvGraphicFramePr>
      <xdr:xfrm>
        <a:off x="0" y="323850"/>
        <a:ext cx="5105400" cy="9525"/>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19</xdr:row>
      <xdr:rowOff>9525</xdr:rowOff>
    </xdr:from>
    <xdr:to>
      <xdr:col>7</xdr:col>
      <xdr:colOff>495300</xdr:colOff>
      <xdr:row>30</xdr:row>
      <xdr:rowOff>9525</xdr:rowOff>
    </xdr:to>
    <xdr:graphicFrame>
      <xdr:nvGraphicFramePr>
        <xdr:cNvPr id="242866" name="Chart 18"/>
        <xdr:cNvGraphicFramePr/>
      </xdr:nvGraphicFramePr>
      <xdr:xfrm>
        <a:off x="0" y="2924175"/>
        <a:ext cx="5105400" cy="167640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47625</xdr:colOff>
      <xdr:row>19</xdr:row>
      <xdr:rowOff>9525</xdr:rowOff>
    </xdr:from>
    <xdr:to>
      <xdr:col>14</xdr:col>
      <xdr:colOff>819150</xdr:colOff>
      <xdr:row>30</xdr:row>
      <xdr:rowOff>0</xdr:rowOff>
    </xdr:to>
    <xdr:graphicFrame>
      <xdr:nvGraphicFramePr>
        <xdr:cNvPr id="242867" name="Chart 19"/>
        <xdr:cNvGraphicFramePr/>
      </xdr:nvGraphicFramePr>
      <xdr:xfrm>
        <a:off x="5314950" y="2924175"/>
        <a:ext cx="4714875" cy="1666875"/>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19050</xdr:colOff>
      <xdr:row>30</xdr:row>
      <xdr:rowOff>142875</xdr:rowOff>
    </xdr:from>
    <xdr:to>
      <xdr:col>7</xdr:col>
      <xdr:colOff>457200</xdr:colOff>
      <xdr:row>41</xdr:row>
      <xdr:rowOff>85725</xdr:rowOff>
    </xdr:to>
    <xdr:graphicFrame>
      <xdr:nvGraphicFramePr>
        <xdr:cNvPr id="242868" name="Chart 20"/>
        <xdr:cNvGraphicFramePr/>
      </xdr:nvGraphicFramePr>
      <xdr:xfrm>
        <a:off x="19050" y="4733925"/>
        <a:ext cx="5048250" cy="161925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3.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5</xdr:col>
      <xdr:colOff>47625</xdr:colOff>
      <xdr:row>2</xdr:row>
      <xdr:rowOff>9525</xdr:rowOff>
    </xdr:to>
    <xdr:graphicFrame>
      <xdr:nvGraphicFramePr>
        <xdr:cNvPr id="186506" name="Chart 1"/>
        <xdr:cNvGraphicFramePr/>
      </xdr:nvGraphicFramePr>
      <xdr:xfrm>
        <a:off x="0" y="323850"/>
        <a:ext cx="3181350" cy="952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104775</xdr:colOff>
      <xdr:row>2</xdr:row>
      <xdr:rowOff>0</xdr:rowOff>
    </xdr:from>
    <xdr:to>
      <xdr:col>10</xdr:col>
      <xdr:colOff>447675</xdr:colOff>
      <xdr:row>2</xdr:row>
      <xdr:rowOff>9525</xdr:rowOff>
    </xdr:to>
    <xdr:graphicFrame>
      <xdr:nvGraphicFramePr>
        <xdr:cNvPr id="186507" name="Chart 2"/>
        <xdr:cNvGraphicFramePr/>
      </xdr:nvGraphicFramePr>
      <xdr:xfrm>
        <a:off x="3238500" y="323850"/>
        <a:ext cx="3248025" cy="952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186508" name="Chart 3"/>
        <xdr:cNvGraphicFramePr/>
      </xdr:nvGraphicFramePr>
      <xdr:xfrm>
        <a:off x="47625" y="323850"/>
        <a:ext cx="2505075" cy="9525"/>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186509" name="Chart 4"/>
        <xdr:cNvGraphicFramePr/>
      </xdr:nvGraphicFramePr>
      <xdr:xfrm>
        <a:off x="3133725" y="323850"/>
        <a:ext cx="3257550" cy="9525"/>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47625</xdr:colOff>
      <xdr:row>2</xdr:row>
      <xdr:rowOff>0</xdr:rowOff>
    </xdr:from>
    <xdr:to>
      <xdr:col>4</xdr:col>
      <xdr:colOff>0</xdr:colOff>
      <xdr:row>2</xdr:row>
      <xdr:rowOff>9525</xdr:rowOff>
    </xdr:to>
    <xdr:graphicFrame>
      <xdr:nvGraphicFramePr>
        <xdr:cNvPr id="186510" name="Chart 5"/>
        <xdr:cNvGraphicFramePr/>
      </xdr:nvGraphicFramePr>
      <xdr:xfrm>
        <a:off x="47625" y="323850"/>
        <a:ext cx="2505075" cy="9525"/>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xdr:row>
      <xdr:rowOff>0</xdr:rowOff>
    </xdr:from>
    <xdr:to>
      <xdr:col>10</xdr:col>
      <xdr:colOff>352425</xdr:colOff>
      <xdr:row>2</xdr:row>
      <xdr:rowOff>9525</xdr:rowOff>
    </xdr:to>
    <xdr:graphicFrame>
      <xdr:nvGraphicFramePr>
        <xdr:cNvPr id="186511" name="Chart 6"/>
        <xdr:cNvGraphicFramePr/>
      </xdr:nvGraphicFramePr>
      <xdr:xfrm>
        <a:off x="3133725" y="323850"/>
        <a:ext cx="3257550" cy="9525"/>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294640</xdr:colOff>
      <xdr:row>12</xdr:row>
      <xdr:rowOff>0</xdr:rowOff>
    </xdr:from>
    <xdr:to>
      <xdr:col>4</xdr:col>
      <xdr:colOff>438150</xdr:colOff>
      <xdr:row>12</xdr:row>
      <xdr:rowOff>9525</xdr:rowOff>
    </xdr:to>
    <xdr:graphicFrame>
      <xdr:nvGraphicFramePr>
        <xdr:cNvPr id="186512" name="Chart 7"/>
        <xdr:cNvGraphicFramePr/>
      </xdr:nvGraphicFramePr>
      <xdr:xfrm>
        <a:off x="294640" y="1752600"/>
        <a:ext cx="2696210" cy="9525"/>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19050</xdr:colOff>
      <xdr:row>12</xdr:row>
      <xdr:rowOff>0</xdr:rowOff>
    </xdr:from>
    <xdr:to>
      <xdr:col>12</xdr:col>
      <xdr:colOff>571500</xdr:colOff>
      <xdr:row>12</xdr:row>
      <xdr:rowOff>9525</xdr:rowOff>
    </xdr:to>
    <xdr:graphicFrame>
      <xdr:nvGraphicFramePr>
        <xdr:cNvPr id="186513" name="Chart 8"/>
        <xdr:cNvGraphicFramePr/>
      </xdr:nvGraphicFramePr>
      <xdr:xfrm>
        <a:off x="3152775" y="1752600"/>
        <a:ext cx="4619625" cy="9525"/>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12</xdr:row>
      <xdr:rowOff>0</xdr:rowOff>
    </xdr:from>
    <xdr:to>
      <xdr:col>4</xdr:col>
      <xdr:colOff>438150</xdr:colOff>
      <xdr:row>12</xdr:row>
      <xdr:rowOff>9525</xdr:rowOff>
    </xdr:to>
    <xdr:graphicFrame>
      <xdr:nvGraphicFramePr>
        <xdr:cNvPr id="186514" name="Chart 9"/>
        <xdr:cNvGraphicFramePr/>
      </xdr:nvGraphicFramePr>
      <xdr:xfrm>
        <a:off x="28575" y="1752600"/>
        <a:ext cx="2962275" cy="9525"/>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28575</xdr:colOff>
      <xdr:row>12</xdr:row>
      <xdr:rowOff>0</xdr:rowOff>
    </xdr:from>
    <xdr:to>
      <xdr:col>12</xdr:col>
      <xdr:colOff>571500</xdr:colOff>
      <xdr:row>12</xdr:row>
      <xdr:rowOff>9525</xdr:rowOff>
    </xdr:to>
    <xdr:graphicFrame>
      <xdr:nvGraphicFramePr>
        <xdr:cNvPr id="186515" name="Chart 10"/>
        <xdr:cNvGraphicFramePr/>
      </xdr:nvGraphicFramePr>
      <xdr:xfrm>
        <a:off x="3162300" y="1752600"/>
        <a:ext cx="4610100" cy="9525"/>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24</xdr:row>
      <xdr:rowOff>38100</xdr:rowOff>
    </xdr:from>
    <xdr:to>
      <xdr:col>7</xdr:col>
      <xdr:colOff>542925</xdr:colOff>
      <xdr:row>42</xdr:row>
      <xdr:rowOff>66675</xdr:rowOff>
    </xdr:to>
    <xdr:graphicFrame>
      <xdr:nvGraphicFramePr>
        <xdr:cNvPr id="186516" name="Chart 11"/>
        <xdr:cNvGraphicFramePr/>
      </xdr:nvGraphicFramePr>
      <xdr:xfrm>
        <a:off x="38100" y="3514725"/>
        <a:ext cx="4800600" cy="2771775"/>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142875</xdr:colOff>
      <xdr:row>24</xdr:row>
      <xdr:rowOff>0</xdr:rowOff>
    </xdr:from>
    <xdr:to>
      <xdr:col>17</xdr:col>
      <xdr:colOff>0</xdr:colOff>
      <xdr:row>42</xdr:row>
      <xdr:rowOff>38100</xdr:rowOff>
    </xdr:to>
    <xdr:graphicFrame>
      <xdr:nvGraphicFramePr>
        <xdr:cNvPr id="186517" name="Chart 16"/>
        <xdr:cNvGraphicFramePr/>
      </xdr:nvGraphicFramePr>
      <xdr:xfrm>
        <a:off x="5019675" y="3476625"/>
        <a:ext cx="4676775" cy="278130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57150</xdr:colOff>
      <xdr:row>47</xdr:row>
      <xdr:rowOff>9525</xdr:rowOff>
    </xdr:from>
    <xdr:to>
      <xdr:col>7</xdr:col>
      <xdr:colOff>495300</xdr:colOff>
      <xdr:row>59</xdr:row>
      <xdr:rowOff>104775</xdr:rowOff>
    </xdr:to>
    <xdr:graphicFrame>
      <xdr:nvGraphicFramePr>
        <xdr:cNvPr id="186518" name="Chart 17"/>
        <xdr:cNvGraphicFramePr/>
      </xdr:nvGraphicFramePr>
      <xdr:xfrm>
        <a:off x="57150" y="7010400"/>
        <a:ext cx="4733925" cy="192405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9525</xdr:colOff>
      <xdr:row>47</xdr:row>
      <xdr:rowOff>9525</xdr:rowOff>
    </xdr:from>
    <xdr:to>
      <xdr:col>17</xdr:col>
      <xdr:colOff>0</xdr:colOff>
      <xdr:row>59</xdr:row>
      <xdr:rowOff>104775</xdr:rowOff>
    </xdr:to>
    <xdr:graphicFrame>
      <xdr:nvGraphicFramePr>
        <xdr:cNvPr id="186519" name="Chart 18"/>
        <xdr:cNvGraphicFramePr/>
      </xdr:nvGraphicFramePr>
      <xdr:xfrm>
        <a:off x="4886325" y="7010400"/>
        <a:ext cx="4810125" cy="192405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61</xdr:row>
      <xdr:rowOff>0</xdr:rowOff>
    </xdr:from>
    <xdr:to>
      <xdr:col>7</xdr:col>
      <xdr:colOff>476250</xdr:colOff>
      <xdr:row>72</xdr:row>
      <xdr:rowOff>95250</xdr:rowOff>
    </xdr:to>
    <xdr:graphicFrame>
      <xdr:nvGraphicFramePr>
        <xdr:cNvPr id="186520" name="Chart 19"/>
        <xdr:cNvGraphicFramePr/>
      </xdr:nvGraphicFramePr>
      <xdr:xfrm>
        <a:off x="0" y="9134475"/>
        <a:ext cx="4772025" cy="177165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61</xdr:row>
      <xdr:rowOff>0</xdr:rowOff>
    </xdr:from>
    <xdr:to>
      <xdr:col>16</xdr:col>
      <xdr:colOff>438150</xdr:colOff>
      <xdr:row>72</xdr:row>
      <xdr:rowOff>104775</xdr:rowOff>
    </xdr:to>
    <xdr:graphicFrame>
      <xdr:nvGraphicFramePr>
        <xdr:cNvPr id="186521" name="Chart 20"/>
        <xdr:cNvGraphicFramePr/>
      </xdr:nvGraphicFramePr>
      <xdr:xfrm>
        <a:off x="4876800" y="9134475"/>
        <a:ext cx="4781550" cy="1781175"/>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74</xdr:row>
      <xdr:rowOff>0</xdr:rowOff>
    </xdr:from>
    <xdr:to>
      <xdr:col>7</xdr:col>
      <xdr:colOff>495300</xdr:colOff>
      <xdr:row>85</xdr:row>
      <xdr:rowOff>114300</xdr:rowOff>
    </xdr:to>
    <xdr:graphicFrame>
      <xdr:nvGraphicFramePr>
        <xdr:cNvPr id="186522" name="Chart 21"/>
        <xdr:cNvGraphicFramePr/>
      </xdr:nvGraphicFramePr>
      <xdr:xfrm>
        <a:off x="0" y="11115675"/>
        <a:ext cx="4791075" cy="179070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1</xdr:col>
      <xdr:colOff>1448435</xdr:colOff>
      <xdr:row>0</xdr:row>
      <xdr:rowOff>177165</xdr:rowOff>
    </xdr:from>
    <xdr:to>
      <xdr:col>2</xdr:col>
      <xdr:colOff>589915</xdr:colOff>
      <xdr:row>0</xdr:row>
      <xdr:rowOff>187325</xdr:rowOff>
    </xdr:to>
    <xdr:sp>
      <xdr:nvSpPr>
        <xdr:cNvPr id="195609" name="WordArt 1"/>
        <xdr:cNvSpPr/>
      </xdr:nvSpPr>
      <xdr:spPr>
        <a:xfrm>
          <a:off x="5182235" y="177165"/>
          <a:ext cx="60833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1</xdr:col>
      <xdr:colOff>1448435</xdr:colOff>
      <xdr:row>0</xdr:row>
      <xdr:rowOff>181610</xdr:rowOff>
    </xdr:from>
    <xdr:to>
      <xdr:col>2</xdr:col>
      <xdr:colOff>589915</xdr:colOff>
      <xdr:row>0</xdr:row>
      <xdr:rowOff>191770</xdr:rowOff>
    </xdr:to>
    <xdr:sp>
      <xdr:nvSpPr>
        <xdr:cNvPr id="195610" name="WordArt 1"/>
        <xdr:cNvSpPr/>
      </xdr:nvSpPr>
      <xdr:spPr>
        <a:xfrm>
          <a:off x="5182235" y="181610"/>
          <a:ext cx="60833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7</xdr:col>
      <xdr:colOff>2713990</xdr:colOff>
      <xdr:row>0</xdr:row>
      <xdr:rowOff>189865</xdr:rowOff>
    </xdr:from>
    <xdr:to>
      <xdr:col>7</xdr:col>
      <xdr:colOff>3323590</xdr:colOff>
      <xdr:row>0</xdr:row>
      <xdr:rowOff>200025</xdr:rowOff>
    </xdr:to>
    <xdr:sp>
      <xdr:nvSpPr>
        <xdr:cNvPr id="195611" name="WordArt 17"/>
        <xdr:cNvSpPr/>
      </xdr:nvSpPr>
      <xdr:spPr>
        <a:xfrm>
          <a:off x="11791315" y="189865"/>
          <a:ext cx="60960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11</xdr:col>
      <xdr:colOff>102235</xdr:colOff>
      <xdr:row>0</xdr:row>
      <xdr:rowOff>142240</xdr:rowOff>
    </xdr:from>
    <xdr:to>
      <xdr:col>12</xdr:col>
      <xdr:colOff>18415</xdr:colOff>
      <xdr:row>1</xdr:row>
      <xdr:rowOff>0</xdr:rowOff>
    </xdr:to>
    <xdr:sp>
      <xdr:nvSpPr>
        <xdr:cNvPr id="196617" name="WordArt 1"/>
        <xdr:cNvSpPr/>
      </xdr:nvSpPr>
      <xdr:spPr>
        <a:xfrm>
          <a:off x="9798685" y="142240"/>
          <a:ext cx="611505" cy="22923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4</xdr:col>
      <xdr:colOff>94615</xdr:colOff>
      <xdr:row>0</xdr:row>
      <xdr:rowOff>162560</xdr:rowOff>
    </xdr:from>
    <xdr:to>
      <xdr:col>4</xdr:col>
      <xdr:colOff>704215</xdr:colOff>
      <xdr:row>1</xdr:row>
      <xdr:rowOff>171450</xdr:rowOff>
    </xdr:to>
    <xdr:sp>
      <xdr:nvSpPr>
        <xdr:cNvPr id="197641" name="WordArt 1"/>
        <xdr:cNvSpPr/>
      </xdr:nvSpPr>
      <xdr:spPr>
        <a:xfrm>
          <a:off x="6209665" y="162560"/>
          <a:ext cx="609600" cy="38036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133350</xdr:colOff>
      <xdr:row>0</xdr:row>
      <xdr:rowOff>190500</xdr:rowOff>
    </xdr:from>
    <xdr:to>
      <xdr:col>6</xdr:col>
      <xdr:colOff>742950</xdr:colOff>
      <xdr:row>1</xdr:row>
      <xdr:rowOff>161925</xdr:rowOff>
    </xdr:to>
    <xdr:sp>
      <xdr:nvSpPr>
        <xdr:cNvPr id="198665" name="WordArt 6"/>
        <xdr:cNvSpPr/>
      </xdr:nvSpPr>
      <xdr:spPr>
        <a:xfrm>
          <a:off x="7772400" y="190500"/>
          <a:ext cx="609600" cy="35242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951230</xdr:colOff>
          <xdr:row>18</xdr:row>
          <xdr:rowOff>0</xdr:rowOff>
        </xdr:from>
        <xdr:to>
          <xdr:col>1</xdr:col>
          <xdr:colOff>973455</xdr:colOff>
          <xdr:row>18</xdr:row>
          <xdr:rowOff>185420</xdr:rowOff>
        </xdr:to>
        <xdr:sp>
          <xdr:nvSpPr>
            <xdr:cNvPr id="198657" name="Drop Down 1" hidden="1">
              <a:extLst>
                <a:ext uri="{63B3BB69-23CF-44E3-9099-C40C66FF867C}">
                  <a14:compatExt spid="_x0000_s198657"/>
                </a:ext>
              </a:extLst>
            </xdr:cNvPr>
            <xdr:cNvSpPr/>
          </xdr:nvSpPr>
          <xdr:spPr>
            <a:xfrm>
              <a:off x="951230" y="4648200"/>
              <a:ext cx="1250950" cy="18542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185420</xdr:rowOff>
        </xdr:from>
        <xdr:to>
          <xdr:col>2</xdr:col>
          <xdr:colOff>0</xdr:colOff>
          <xdr:row>18</xdr:row>
          <xdr:rowOff>0</xdr:rowOff>
        </xdr:to>
        <xdr:sp>
          <xdr:nvSpPr>
            <xdr:cNvPr id="198658" name="Drop Down 2" hidden="1">
              <a:extLst>
                <a:ext uri="{63B3BB69-23CF-44E3-9099-C40C66FF867C}">
                  <a14:compatExt spid="_x0000_s198658"/>
                </a:ext>
              </a:extLst>
            </xdr:cNvPr>
            <xdr:cNvSpPr/>
          </xdr:nvSpPr>
          <xdr:spPr>
            <a:xfrm>
              <a:off x="1228725" y="4330700"/>
              <a:ext cx="1266825" cy="317500"/>
            </a:xfrm>
            <a:prstGeom prst="rect">
              <a:avLst/>
            </a:prstGeom>
          </xdr:spPr>
        </xdr:sp>
        <xdr:clientData/>
      </xdr:twoCellAnchor>
    </mc:Choice>
    <mc:Fallback/>
  </mc:AlternateContent>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21</xdr:col>
      <xdr:colOff>95250</xdr:colOff>
      <xdr:row>0</xdr:row>
      <xdr:rowOff>219075</xdr:rowOff>
    </xdr:from>
    <xdr:to>
      <xdr:col>23</xdr:col>
      <xdr:colOff>256540</xdr:colOff>
      <xdr:row>0</xdr:row>
      <xdr:rowOff>242570</xdr:rowOff>
    </xdr:to>
    <xdr:sp>
      <xdr:nvSpPr>
        <xdr:cNvPr id="199697" name="WordArt 1"/>
        <xdr:cNvSpPr/>
      </xdr:nvSpPr>
      <xdr:spPr>
        <a:xfrm>
          <a:off x="7239000" y="219075"/>
          <a:ext cx="608965" cy="23495"/>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Harsh2" dir="b"/>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twoCellAnchor>
    <xdr:from>
      <xdr:col>21</xdr:col>
      <xdr:colOff>95250</xdr:colOff>
      <xdr:row>0</xdr:row>
      <xdr:rowOff>229235</xdr:rowOff>
    </xdr:from>
    <xdr:to>
      <xdr:col>23</xdr:col>
      <xdr:colOff>257175</xdr:colOff>
      <xdr:row>0</xdr:row>
      <xdr:rowOff>239395</xdr:rowOff>
    </xdr:to>
    <xdr:sp>
      <xdr:nvSpPr>
        <xdr:cNvPr id="199698" name="WordArt 1"/>
        <xdr:cNvSpPr/>
      </xdr:nvSpPr>
      <xdr:spPr>
        <a:xfrm>
          <a:off x="7239000" y="229235"/>
          <a:ext cx="609600" cy="10160"/>
        </a:xfrm>
        <a:prstGeom prst="rect">
          <a:avLst/>
        </a:prstGeom>
      </xdr:spPr>
      <xdr:txBody>
        <a:bodyPr vertOverflow="overflow" wrap="none" fromWordArt="1">
          <a:prstTxWarp prst="textCascadeUp">
            <a:avLst>
              <a:gd name="adj" fmla="val 44444"/>
            </a:avLst>
          </a:prstTxWarp>
          <a:normAutofit/>
          <a:scene3d>
            <a:camera prst="legacyPerspectiveFront">
              <a:rot lat="20520000" lon="1080000" rev="0"/>
            </a:camera>
            <a:lightRig rig="legacyFlat3" dir="r"/>
          </a:scene3d>
          <a:sp3d extrusionH="430200" prstMaterial="legacyMatte">
            <a:extrusionClr>
              <a:srgbClr val="FF6600"/>
            </a:extrusionClr>
          </a:sp3d>
        </a:bodyPr>
        <a:lstStyle/>
        <a:p>
          <a:pPr algn="ctr"/>
          <a:endParaRPr lang="zh-CN" altLang="en-US" sz="2400" b="1">
            <a:gradFill rotWithShape="0">
              <a:gsLst>
                <a:gs pos="0">
                  <a:srgbClr val="FFE701">
                    <a:alpha val="100000"/>
                  </a:srgbClr>
                </a:gs>
                <a:gs pos="100000">
                  <a:srgbClr val="FE3E02"/>
                </a:gs>
              </a:gsLst>
              <a:lin ang="5400000" scaled="1"/>
              <a:tileRect/>
            </a:gradFill>
            <a:latin typeface="宋体" panose="02010600030101010101" pitchFamily="7" charset="-122"/>
            <a:ea typeface="宋体" panose="02010600030101010101" pitchFamily="7" charset="-122"/>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gaodun\Desktop\&#31649;&#29702;&#29992;&#36130;&#21153;&#25253;&#34920;&#27169;&#26495;(&#24102;&#37322;&#20041;&#21644;&#20844;&#24335;)V7&#20844;&#27979;&#29256;\&#31649;&#29702;&#29992;&#36130;&#21153;&#25253;&#34920;&#27169;&#26495;(&#24102;&#37322;&#20041;&#21644;&#20844;&#24335;)V7&#20844;&#27979;&#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2593;&#30424;\118&#20010;&#20250;&#35745;&#36130;&#21153;&#24120;&#29992;Excel&#34920;&#26684;\&#12304;&#36130;&#21153;&#20998;&#26512;&#25253;&#34920;&#12305;&#20135;&#21697;&#25104;&#26412;&#20998;&#26512;&#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资产负债表"/>
      <sheetName val="结构比"/>
      <sheetName val="负债表分析"/>
      <sheetName val="利润表"/>
      <sheetName val="表外数据录入"/>
      <sheetName val="现金流量表"/>
      <sheetName val="所有者权益变动表"/>
      <sheetName val="财务比率分析"/>
      <sheetName val="税负监控"/>
      <sheetName val="老杜邦"/>
      <sheetName val="老杜邦率"/>
      <sheetName val="收支对比"/>
      <sheetName val="收支分析"/>
      <sheetName val="财务预警"/>
      <sheetName val="管理用资负表"/>
      <sheetName val="管理用利润表"/>
      <sheetName val="管理用现流表"/>
      <sheetName val="管理比率"/>
      <sheetName val="新杜邦"/>
      <sheetName val="预测负债表"/>
      <sheetName val="预测利润表"/>
      <sheetName val="行业绩效标准"/>
      <sheetName val="骆驼绩效"/>
      <sheetName val="贷款额度"/>
      <sheetName val="投资决策"/>
      <sheetName val="更新决策"/>
      <sheetName val="财务计划"/>
      <sheetName val="EOQ模型"/>
      <sheetName val="租赁模型"/>
      <sheetName val="按揭模型"/>
      <sheetName val="敏感分析"/>
      <sheetName val="安全率"/>
      <sheetName val="年终奖"/>
      <sheetName val="时间序列"/>
      <sheetName val="现金预算"/>
      <sheetName val="应收款账龄"/>
      <sheetName val="诊断分析"/>
      <sheetName val="采购决策"/>
      <sheetName val="企业价值"/>
    </sheetNames>
    <sheetDataSet>
      <sheetData sheetId="0"/>
      <sheetData sheetId="1">
        <row r="3">
          <cell r="C3" t="str">
            <v>年    月    日</v>
          </cell>
        </row>
        <row r="28">
          <cell r="E28">
            <v>0</v>
          </cell>
        </row>
        <row r="37">
          <cell r="B3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
          <cell r="B5">
            <v>1</v>
          </cell>
          <cell r="C5">
            <v>3017.6</v>
          </cell>
        </row>
        <row r="6">
          <cell r="B6">
            <v>2</v>
          </cell>
          <cell r="C6">
            <v>3043.54</v>
          </cell>
        </row>
        <row r="7">
          <cell r="B7">
            <v>3</v>
          </cell>
          <cell r="C7">
            <v>2094.35</v>
          </cell>
        </row>
        <row r="8">
          <cell r="B8">
            <v>4</v>
          </cell>
          <cell r="C8">
            <v>2809.84</v>
          </cell>
        </row>
        <row r="9">
          <cell r="B9">
            <v>5</v>
          </cell>
          <cell r="C9">
            <v>3274.8</v>
          </cell>
        </row>
        <row r="10">
          <cell r="B10">
            <v>6</v>
          </cell>
          <cell r="C10">
            <v>3163.28</v>
          </cell>
        </row>
        <row r="11">
          <cell r="B11">
            <v>7</v>
          </cell>
          <cell r="C11">
            <v>2114.31</v>
          </cell>
        </row>
        <row r="12">
          <cell r="B12">
            <v>8</v>
          </cell>
          <cell r="C12">
            <v>3024.57</v>
          </cell>
        </row>
        <row r="13">
          <cell r="B13">
            <v>9</v>
          </cell>
          <cell r="C13">
            <v>3327.48</v>
          </cell>
        </row>
        <row r="14">
          <cell r="B14">
            <v>10</v>
          </cell>
          <cell r="C14">
            <v>3493.48</v>
          </cell>
        </row>
        <row r="15">
          <cell r="B15">
            <v>11</v>
          </cell>
          <cell r="C15">
            <v>2439.93</v>
          </cell>
        </row>
        <row r="16">
          <cell r="B16">
            <v>12</v>
          </cell>
          <cell r="C16">
            <v>3490.79</v>
          </cell>
        </row>
        <row r="17">
          <cell r="B17">
            <v>13</v>
          </cell>
          <cell r="C17">
            <v>3685.08</v>
          </cell>
        </row>
        <row r="18">
          <cell r="B18">
            <v>14</v>
          </cell>
          <cell r="C18">
            <v>3661.23</v>
          </cell>
        </row>
        <row r="19">
          <cell r="B19">
            <v>15</v>
          </cell>
          <cell r="C19">
            <v>2378.43</v>
          </cell>
        </row>
        <row r="20">
          <cell r="B20">
            <v>16</v>
          </cell>
          <cell r="C20">
            <v>3459.55</v>
          </cell>
        </row>
        <row r="28">
          <cell r="L28">
            <v>2749.39941176471</v>
          </cell>
        </row>
        <row r="29">
          <cell r="L29">
            <v>2786.79832352941</v>
          </cell>
        </row>
        <row r="30">
          <cell r="L30">
            <v>2824.19723529412</v>
          </cell>
        </row>
        <row r="31">
          <cell r="L31">
            <v>2861.59614705882</v>
          </cell>
        </row>
        <row r="32">
          <cell r="L32">
            <v>2898.99505882353</v>
          </cell>
        </row>
        <row r="33">
          <cell r="L33">
            <v>2936.39397058824</v>
          </cell>
        </row>
        <row r="34">
          <cell r="L34">
            <v>2973.79288235294</v>
          </cell>
        </row>
        <row r="35">
          <cell r="L35">
            <v>3011.19179411765</v>
          </cell>
        </row>
        <row r="36">
          <cell r="L36">
            <v>3048.59070588235</v>
          </cell>
        </row>
        <row r="37">
          <cell r="L37">
            <v>3085.98961764706</v>
          </cell>
        </row>
        <row r="38">
          <cell r="L38">
            <v>3123.38852941177</v>
          </cell>
        </row>
        <row r="39">
          <cell r="L39">
            <v>3160.78744117647</v>
          </cell>
        </row>
        <row r="40">
          <cell r="L40">
            <v>3198.18635294118</v>
          </cell>
        </row>
        <row r="41">
          <cell r="L41">
            <v>3235.58526470588</v>
          </cell>
        </row>
        <row r="42">
          <cell r="L42">
            <v>3272.98417647059</v>
          </cell>
        </row>
        <row r="43">
          <cell r="L43">
            <v>3310.38308823529</v>
          </cell>
        </row>
      </sheetData>
      <sheetData sheetId="35"/>
      <sheetData sheetId="36"/>
      <sheetData sheetId="37"/>
      <sheetData sheetId="38">
        <row r="6">
          <cell r="I6">
            <v>2805</v>
          </cell>
          <cell r="J6">
            <v>40090.4876598706</v>
          </cell>
          <cell r="K6">
            <v>30278.3450654718</v>
          </cell>
        </row>
        <row r="6">
          <cell r="N6">
            <v>0</v>
          </cell>
          <cell r="O6">
            <v>79700.3447763488</v>
          </cell>
        </row>
        <row r="7">
          <cell r="I7">
            <v>3366</v>
          </cell>
          <cell r="J7">
            <v>48022.7991989315</v>
          </cell>
          <cell r="K7">
            <v>34659.8267965293</v>
          </cell>
        </row>
        <row r="7">
          <cell r="N7">
            <v>5610</v>
          </cell>
          <cell r="O7">
            <v>79700.3447763488</v>
          </cell>
        </row>
        <row r="8">
          <cell r="I8">
            <v>3927</v>
          </cell>
          <cell r="J8">
            <v>55948.8140913687</v>
          </cell>
          <cell r="K8">
            <v>38889.670644948</v>
          </cell>
        </row>
        <row r="9">
          <cell r="I9">
            <v>4488</v>
          </cell>
          <cell r="J9">
            <v>63869.8439189011</v>
          </cell>
          <cell r="K9">
            <v>42992.3577649404</v>
          </cell>
        </row>
        <row r="9">
          <cell r="N9">
            <v>0</v>
          </cell>
          <cell r="O9">
            <v>50878.8414244397</v>
          </cell>
        </row>
        <row r="10">
          <cell r="I10">
            <v>5049</v>
          </cell>
          <cell r="J10">
            <v>71786.7997093023</v>
          </cell>
          <cell r="K10">
            <v>46984.733794534</v>
          </cell>
        </row>
        <row r="10">
          <cell r="N10">
            <v>5610</v>
          </cell>
          <cell r="O10">
            <v>50878.8414244397</v>
          </cell>
        </row>
        <row r="11">
          <cell r="I11">
            <v>5610</v>
          </cell>
          <cell r="J11">
            <v>79700.3447763488</v>
          </cell>
          <cell r="K11">
            <v>50878.8414244397</v>
          </cell>
        </row>
        <row r="12">
          <cell r="I12">
            <v>6171</v>
          </cell>
          <cell r="J12">
            <v>87610.9798683627</v>
          </cell>
          <cell r="K12">
            <v>54683.5000099108</v>
          </cell>
        </row>
        <row r="13">
          <cell r="I13">
            <v>6732</v>
          </cell>
          <cell r="J13">
            <v>95519.0940169791</v>
          </cell>
          <cell r="K13">
            <v>58405.2455265563</v>
          </cell>
        </row>
        <row r="14">
          <cell r="I14">
            <v>7293</v>
          </cell>
          <cell r="J14">
            <v>103424.996598635</v>
          </cell>
          <cell r="K14">
            <v>62048.9164177195</v>
          </cell>
        </row>
        <row r="15">
          <cell r="I15">
            <v>7854</v>
          </cell>
          <cell r="J15">
            <v>111328.938454556</v>
          </cell>
          <cell r="K15">
            <v>65618.0296744652</v>
          </cell>
        </row>
        <row r="16">
          <cell r="I16">
            <v>8415</v>
          </cell>
          <cell r="J16">
            <v>119231.126313879</v>
          </cell>
          <cell r="K16">
            <v>69115.0246979702</v>
          </cell>
        </row>
        <row r="17">
          <cell r="N17">
            <v>30278.3450654718</v>
          </cell>
        </row>
        <row r="18">
          <cell r="N18">
            <v>119231.126313879</v>
          </cell>
        </row>
        <row r="20">
          <cell r="D20">
            <v>5610</v>
          </cell>
        </row>
        <row r="32">
          <cell r="D32">
            <v>79700.3447763488</v>
          </cell>
          <cell r="E32">
            <v>50878.8414244397</v>
          </cell>
        </row>
      </sheetData>
      <sheetData sheetId="39">
        <row r="6">
          <cell r="L6">
            <v>0</v>
          </cell>
          <cell r="M6">
            <v>14936.6136447518</v>
          </cell>
        </row>
        <row r="7">
          <cell r="L7">
            <v>0.1</v>
          </cell>
          <cell r="M7">
            <v>19975.0699440302</v>
          </cell>
        </row>
        <row r="8">
          <cell r="L8">
            <v>0.2</v>
          </cell>
          <cell r="M8">
            <v>27124.1646895639</v>
          </cell>
        </row>
        <row r="9">
          <cell r="L9">
            <v>0.3</v>
          </cell>
          <cell r="M9">
            <v>36999.3610973339</v>
          </cell>
        </row>
        <row r="10">
          <cell r="L10">
            <v>0.4</v>
          </cell>
          <cell r="M10">
            <v>50326.3811383928</v>
          </cell>
        </row>
        <row r="11">
          <cell r="L11">
            <v>0.5</v>
          </cell>
          <cell r="M11">
            <v>67950.3297627046</v>
          </cell>
        </row>
        <row r="12">
          <cell r="L12">
            <v>0.6</v>
          </cell>
          <cell r="M12">
            <v>90844.8191229844</v>
          </cell>
        </row>
        <row r="13">
          <cell r="L13">
            <v>0.7</v>
          </cell>
          <cell r="M13">
            <v>120121.092798539</v>
          </cell>
        </row>
        <row r="14">
          <cell r="L14">
            <v>0.8</v>
          </cell>
          <cell r="M14">
            <v>157037.150019105</v>
          </cell>
        </row>
        <row r="15">
          <cell r="L15">
            <v>0.9</v>
          </cell>
          <cell r="M15">
            <v>203006.869888691</v>
          </cell>
        </row>
        <row r="16">
          <cell r="L16">
            <v>1</v>
          </cell>
          <cell r="M16">
            <v>259609.135609419</v>
          </cell>
        </row>
        <row r="26">
          <cell r="C26">
            <v>0.08</v>
          </cell>
        </row>
        <row r="51">
          <cell r="C51" t="str">
            <v>18816.38万元</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总生产成本分析表"/>
      <sheetName val="总生产成本年度比较表"/>
      <sheetName val="生产成本汇总表"/>
      <sheetName val="A产品成本分析表"/>
      <sheetName val="B产品成本分析表"/>
      <sheetName val="C产品成本分析表"/>
      <sheetName val="D产品成本分析表"/>
      <sheetName val="E产品成本分析表"/>
      <sheetName val="F产品成本分析表"/>
      <sheetName val="G产品成本分析表"/>
      <sheetName val="其他产品成本表"/>
      <sheetName val="主要产品单位成本分析表"/>
    </sheetNames>
    <sheetDataSet>
      <sheetData sheetId="0">
        <row r="5">
          <cell r="A5" t="str">
            <v>直接材料</v>
          </cell>
          <cell r="B5">
            <v>0</v>
          </cell>
          <cell r="C5">
            <v>0</v>
          </cell>
          <cell r="D5">
            <v>0</v>
          </cell>
          <cell r="E5">
            <v>0</v>
          </cell>
          <cell r="F5">
            <v>0</v>
          </cell>
          <cell r="G5">
            <v>0</v>
          </cell>
          <cell r="H5">
            <v>0</v>
          </cell>
          <cell r="I5">
            <v>0</v>
          </cell>
          <cell r="J5">
            <v>0</v>
          </cell>
          <cell r="K5">
            <v>0</v>
          </cell>
          <cell r="L5">
            <v>0</v>
          </cell>
          <cell r="M5">
            <v>0</v>
          </cell>
          <cell r="N5">
            <v>0</v>
          </cell>
          <cell r="O5">
            <v>0</v>
          </cell>
        </row>
        <row r="6">
          <cell r="A6" t="str">
            <v>直接人工</v>
          </cell>
          <cell r="B6">
            <v>0</v>
          </cell>
          <cell r="C6">
            <v>0</v>
          </cell>
          <cell r="D6">
            <v>0</v>
          </cell>
          <cell r="E6">
            <v>0</v>
          </cell>
          <cell r="F6">
            <v>0</v>
          </cell>
          <cell r="G6">
            <v>0</v>
          </cell>
          <cell r="H6">
            <v>0</v>
          </cell>
          <cell r="I6">
            <v>0</v>
          </cell>
          <cell r="J6">
            <v>0</v>
          </cell>
          <cell r="K6">
            <v>0</v>
          </cell>
          <cell r="L6">
            <v>0</v>
          </cell>
          <cell r="M6">
            <v>0</v>
          </cell>
          <cell r="N6">
            <v>0</v>
          </cell>
          <cell r="O6">
            <v>0</v>
          </cell>
        </row>
        <row r="7">
          <cell r="A7" t="str">
            <v>制造费用</v>
          </cell>
          <cell r="B7">
            <v>0</v>
          </cell>
          <cell r="C7">
            <v>0</v>
          </cell>
          <cell r="D7">
            <v>0</v>
          </cell>
          <cell r="E7">
            <v>0</v>
          </cell>
          <cell r="F7">
            <v>0</v>
          </cell>
          <cell r="G7">
            <v>0</v>
          </cell>
          <cell r="H7">
            <v>0</v>
          </cell>
          <cell r="I7">
            <v>0</v>
          </cell>
          <cell r="J7">
            <v>0</v>
          </cell>
          <cell r="K7">
            <v>0</v>
          </cell>
          <cell r="L7">
            <v>0</v>
          </cell>
          <cell r="M7">
            <v>0</v>
          </cell>
          <cell r="N7">
            <v>0</v>
          </cell>
          <cell r="O7">
            <v>0</v>
          </cell>
        </row>
        <row r="8">
          <cell r="A8" t="str">
            <v>其他</v>
          </cell>
          <cell r="B8">
            <v>0</v>
          </cell>
          <cell r="C8">
            <v>0</v>
          </cell>
          <cell r="D8">
            <v>0</v>
          </cell>
          <cell r="E8">
            <v>0</v>
          </cell>
          <cell r="F8">
            <v>0</v>
          </cell>
          <cell r="G8">
            <v>0</v>
          </cell>
          <cell r="H8">
            <v>0</v>
          </cell>
          <cell r="I8">
            <v>0</v>
          </cell>
          <cell r="J8">
            <v>0</v>
          </cell>
          <cell r="K8">
            <v>0</v>
          </cell>
          <cell r="L8">
            <v>0</v>
          </cell>
          <cell r="M8">
            <v>0</v>
          </cell>
          <cell r="N8">
            <v>0</v>
          </cell>
          <cell r="O8">
            <v>0</v>
          </cell>
        </row>
        <row r="9">
          <cell r="A9" t="str">
            <v>合计</v>
          </cell>
          <cell r="B9">
            <v>0</v>
          </cell>
          <cell r="C9">
            <v>0</v>
          </cell>
          <cell r="D9">
            <v>0</v>
          </cell>
          <cell r="E9">
            <v>0</v>
          </cell>
          <cell r="F9">
            <v>0</v>
          </cell>
          <cell r="G9">
            <v>0</v>
          </cell>
          <cell r="H9">
            <v>0</v>
          </cell>
          <cell r="I9">
            <v>0</v>
          </cell>
          <cell r="J9">
            <v>0</v>
          </cell>
          <cell r="K9">
            <v>0</v>
          </cell>
          <cell r="L9">
            <v>0</v>
          </cell>
          <cell r="M9">
            <v>0</v>
          </cell>
        </row>
        <row r="10">
          <cell r="A10" t="str">
            <v>本期转出</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期末数</v>
          </cell>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sheetData>
      <sheetData sheetId="1">
        <row r="3">
          <cell r="B3" t="str">
            <v>上年数</v>
          </cell>
          <cell r="C3" t="str">
            <v>本年数</v>
          </cell>
        </row>
        <row r="3">
          <cell r="H3" t="str">
            <v>上年结构</v>
          </cell>
          <cell r="I3" t="str">
            <v>本年结构</v>
          </cell>
        </row>
        <row r="4">
          <cell r="A4" t="str">
            <v>直接材料</v>
          </cell>
        </row>
        <row r="4">
          <cell r="C4">
            <v>0</v>
          </cell>
        </row>
        <row r="4">
          <cell r="H4">
            <v>0</v>
          </cell>
          <cell r="I4">
            <v>0</v>
          </cell>
        </row>
        <row r="5">
          <cell r="A5" t="str">
            <v>直接人工</v>
          </cell>
        </row>
        <row r="5">
          <cell r="C5">
            <v>0</v>
          </cell>
        </row>
        <row r="5">
          <cell r="H5">
            <v>0</v>
          </cell>
          <cell r="I5">
            <v>0</v>
          </cell>
        </row>
        <row r="6">
          <cell r="A6" t="str">
            <v>制造费用</v>
          </cell>
        </row>
        <row r="6">
          <cell r="C6">
            <v>0</v>
          </cell>
        </row>
        <row r="6">
          <cell r="H6">
            <v>0</v>
          </cell>
          <cell r="I6">
            <v>0</v>
          </cell>
        </row>
        <row r="7">
          <cell r="A7" t="str">
            <v>其他</v>
          </cell>
        </row>
        <row r="7">
          <cell r="C7">
            <v>0</v>
          </cell>
        </row>
        <row r="7">
          <cell r="H7">
            <v>0</v>
          </cell>
          <cell r="I7">
            <v>0</v>
          </cell>
        </row>
      </sheetData>
      <sheetData sheetId="2">
        <row r="3">
          <cell r="L3" t="str">
            <v>直接材料比重</v>
          </cell>
          <cell r="M3" t="str">
            <v>直接人工比重</v>
          </cell>
          <cell r="N3" t="str">
            <v>制造费用比重</v>
          </cell>
          <cell r="O3" t="str">
            <v>其他比重</v>
          </cell>
          <cell r="P3" t="str">
            <v>本年结构</v>
          </cell>
        </row>
        <row r="3">
          <cell r="S3" t="str">
            <v>上年结构</v>
          </cell>
        </row>
        <row r="4">
          <cell r="A4" t="str">
            <v>A</v>
          </cell>
        </row>
        <row r="4">
          <cell r="G4">
            <v>0</v>
          </cell>
          <cell r="H4">
            <v>0</v>
          </cell>
        </row>
        <row r="4">
          <cell r="L4" t="str">
            <v/>
          </cell>
          <cell r="M4" t="str">
            <v/>
          </cell>
          <cell r="N4" t="str">
            <v/>
          </cell>
          <cell r="O4" t="str">
            <v/>
          </cell>
          <cell r="P4">
            <v>0</v>
          </cell>
        </row>
        <row r="4">
          <cell r="S4">
            <v>0</v>
          </cell>
        </row>
        <row r="5">
          <cell r="A5" t="str">
            <v>B</v>
          </cell>
          <cell r="B5">
            <v>0</v>
          </cell>
          <cell r="C5">
            <v>0</v>
          </cell>
          <cell r="D5">
            <v>0</v>
          </cell>
          <cell r="E5">
            <v>0</v>
          </cell>
          <cell r="F5">
            <v>0</v>
          </cell>
          <cell r="G5">
            <v>0</v>
          </cell>
          <cell r="H5">
            <v>0</v>
          </cell>
          <cell r="I5">
            <v>0</v>
          </cell>
          <cell r="J5" t="str">
            <v/>
          </cell>
          <cell r="K5">
            <v>0</v>
          </cell>
          <cell r="L5" t="str">
            <v/>
          </cell>
          <cell r="M5" t="str">
            <v/>
          </cell>
          <cell r="N5" t="str">
            <v/>
          </cell>
          <cell r="O5" t="str">
            <v/>
          </cell>
          <cell r="P5">
            <v>0</v>
          </cell>
        </row>
        <row r="5">
          <cell r="S5">
            <v>0</v>
          </cell>
        </row>
        <row r="6">
          <cell r="A6" t="str">
            <v>C</v>
          </cell>
          <cell r="B6">
            <v>0</v>
          </cell>
          <cell r="C6">
            <v>0</v>
          </cell>
          <cell r="D6">
            <v>0</v>
          </cell>
          <cell r="E6">
            <v>0</v>
          </cell>
          <cell r="F6">
            <v>0</v>
          </cell>
          <cell r="G6">
            <v>0</v>
          </cell>
          <cell r="H6">
            <v>0</v>
          </cell>
          <cell r="I6">
            <v>0</v>
          </cell>
          <cell r="J6" t="str">
            <v/>
          </cell>
          <cell r="K6">
            <v>0</v>
          </cell>
          <cell r="L6" t="str">
            <v/>
          </cell>
          <cell r="M6" t="str">
            <v/>
          </cell>
          <cell r="N6" t="str">
            <v/>
          </cell>
          <cell r="O6" t="str">
            <v/>
          </cell>
          <cell r="P6">
            <v>0</v>
          </cell>
        </row>
        <row r="6">
          <cell r="S6">
            <v>0</v>
          </cell>
        </row>
        <row r="7">
          <cell r="A7" t="str">
            <v>D</v>
          </cell>
          <cell r="B7">
            <v>0</v>
          </cell>
          <cell r="C7">
            <v>0</v>
          </cell>
          <cell r="D7">
            <v>0</v>
          </cell>
          <cell r="E7">
            <v>0</v>
          </cell>
          <cell r="F7">
            <v>0</v>
          </cell>
          <cell r="G7">
            <v>0</v>
          </cell>
          <cell r="H7">
            <v>0</v>
          </cell>
          <cell r="I7">
            <v>0</v>
          </cell>
          <cell r="J7" t="str">
            <v/>
          </cell>
          <cell r="K7">
            <v>0</v>
          </cell>
          <cell r="L7" t="str">
            <v/>
          </cell>
          <cell r="M7" t="str">
            <v/>
          </cell>
          <cell r="N7" t="str">
            <v/>
          </cell>
          <cell r="O7" t="str">
            <v/>
          </cell>
          <cell r="P7">
            <v>0</v>
          </cell>
        </row>
        <row r="7">
          <cell r="S7">
            <v>0</v>
          </cell>
        </row>
        <row r="8">
          <cell r="A8" t="str">
            <v>E</v>
          </cell>
          <cell r="B8">
            <v>0</v>
          </cell>
          <cell r="C8">
            <v>0</v>
          </cell>
          <cell r="D8">
            <v>0</v>
          </cell>
          <cell r="E8">
            <v>0</v>
          </cell>
          <cell r="F8">
            <v>0</v>
          </cell>
          <cell r="G8">
            <v>0</v>
          </cell>
          <cell r="H8">
            <v>0</v>
          </cell>
          <cell r="I8">
            <v>0</v>
          </cell>
          <cell r="J8" t="str">
            <v/>
          </cell>
          <cell r="K8">
            <v>0</v>
          </cell>
          <cell r="L8" t="str">
            <v/>
          </cell>
          <cell r="M8" t="str">
            <v/>
          </cell>
          <cell r="N8" t="str">
            <v/>
          </cell>
          <cell r="O8" t="str">
            <v/>
          </cell>
          <cell r="P8">
            <v>0</v>
          </cell>
        </row>
        <row r="8">
          <cell r="S8">
            <v>0</v>
          </cell>
        </row>
        <row r="9">
          <cell r="A9" t="str">
            <v>F</v>
          </cell>
          <cell r="B9">
            <v>0</v>
          </cell>
          <cell r="C9">
            <v>0</v>
          </cell>
          <cell r="D9">
            <v>0</v>
          </cell>
          <cell r="E9">
            <v>0</v>
          </cell>
          <cell r="F9">
            <v>0</v>
          </cell>
          <cell r="G9">
            <v>0</v>
          </cell>
          <cell r="H9">
            <v>0</v>
          </cell>
          <cell r="I9">
            <v>0</v>
          </cell>
          <cell r="J9" t="str">
            <v/>
          </cell>
          <cell r="K9">
            <v>0</v>
          </cell>
          <cell r="L9" t="str">
            <v/>
          </cell>
          <cell r="M9" t="str">
            <v/>
          </cell>
          <cell r="N9" t="str">
            <v/>
          </cell>
          <cell r="O9" t="str">
            <v/>
          </cell>
          <cell r="P9">
            <v>0</v>
          </cell>
        </row>
        <row r="9">
          <cell r="S9">
            <v>0</v>
          </cell>
        </row>
        <row r="10">
          <cell r="A10" t="str">
            <v>G</v>
          </cell>
        </row>
        <row r="10">
          <cell r="G10">
            <v>0</v>
          </cell>
          <cell r="H10">
            <v>0</v>
          </cell>
        </row>
        <row r="10">
          <cell r="L10" t="str">
            <v/>
          </cell>
          <cell r="M10" t="str">
            <v/>
          </cell>
          <cell r="N10" t="str">
            <v/>
          </cell>
          <cell r="O10" t="str">
            <v/>
          </cell>
          <cell r="P10">
            <v>0</v>
          </cell>
        </row>
        <row r="10">
          <cell r="S10">
            <v>0</v>
          </cell>
        </row>
        <row r="11">
          <cell r="A11" t="str">
            <v>H</v>
          </cell>
        </row>
        <row r="11">
          <cell r="G11">
            <v>0</v>
          </cell>
          <cell r="H11">
            <v>0</v>
          </cell>
        </row>
        <row r="11">
          <cell r="L11" t="str">
            <v/>
          </cell>
          <cell r="M11" t="str">
            <v/>
          </cell>
          <cell r="N11" t="str">
            <v/>
          </cell>
          <cell r="O11" t="str">
            <v/>
          </cell>
          <cell r="P11">
            <v>0</v>
          </cell>
        </row>
        <row r="11">
          <cell r="S11">
            <v>0</v>
          </cell>
        </row>
        <row r="12">
          <cell r="A12" t="str">
            <v>I</v>
          </cell>
        </row>
        <row r="12">
          <cell r="G12">
            <v>0</v>
          </cell>
          <cell r="H12">
            <v>0</v>
          </cell>
        </row>
        <row r="12">
          <cell r="L12" t="str">
            <v/>
          </cell>
          <cell r="M12" t="str">
            <v/>
          </cell>
          <cell r="N12" t="str">
            <v/>
          </cell>
          <cell r="O12" t="str">
            <v/>
          </cell>
          <cell r="P12">
            <v>0</v>
          </cell>
        </row>
        <row r="12">
          <cell r="S12">
            <v>0</v>
          </cell>
        </row>
        <row r="13">
          <cell r="A13" t="str">
            <v>J</v>
          </cell>
        </row>
        <row r="13">
          <cell r="G13">
            <v>0</v>
          </cell>
          <cell r="H13">
            <v>0</v>
          </cell>
        </row>
        <row r="13">
          <cell r="L13" t="str">
            <v/>
          </cell>
          <cell r="M13" t="str">
            <v/>
          </cell>
          <cell r="N13" t="str">
            <v/>
          </cell>
          <cell r="O13" t="str">
            <v/>
          </cell>
          <cell r="P13">
            <v>0</v>
          </cell>
        </row>
        <row r="13">
          <cell r="S13">
            <v>0</v>
          </cell>
        </row>
        <row r="14">
          <cell r="A14" t="str">
            <v>K</v>
          </cell>
        </row>
        <row r="14">
          <cell r="G14">
            <v>0</v>
          </cell>
          <cell r="H14">
            <v>0</v>
          </cell>
        </row>
        <row r="14">
          <cell r="L14" t="str">
            <v/>
          </cell>
          <cell r="M14" t="str">
            <v/>
          </cell>
          <cell r="N14" t="str">
            <v/>
          </cell>
          <cell r="O14" t="str">
            <v/>
          </cell>
          <cell r="P14">
            <v>0</v>
          </cell>
        </row>
        <row r="14">
          <cell r="S14">
            <v>0</v>
          </cell>
        </row>
        <row r="15">
          <cell r="A15" t="str">
            <v>L</v>
          </cell>
        </row>
        <row r="15">
          <cell r="G15">
            <v>0</v>
          </cell>
          <cell r="H15">
            <v>0</v>
          </cell>
        </row>
        <row r="15">
          <cell r="L15" t="str">
            <v/>
          </cell>
          <cell r="M15" t="str">
            <v/>
          </cell>
          <cell r="N15" t="str">
            <v/>
          </cell>
          <cell r="O15" t="str">
            <v/>
          </cell>
          <cell r="P15">
            <v>0</v>
          </cell>
        </row>
        <row r="15">
          <cell r="S15">
            <v>0</v>
          </cell>
        </row>
        <row r="16">
          <cell r="A16" t="str">
            <v>M</v>
          </cell>
        </row>
        <row r="16">
          <cell r="G16">
            <v>0</v>
          </cell>
          <cell r="H16">
            <v>0</v>
          </cell>
        </row>
        <row r="16">
          <cell r="L16" t="str">
            <v/>
          </cell>
          <cell r="M16" t="str">
            <v/>
          </cell>
          <cell r="N16" t="str">
            <v/>
          </cell>
          <cell r="O16" t="str">
            <v/>
          </cell>
          <cell r="P16">
            <v>0</v>
          </cell>
        </row>
        <row r="16">
          <cell r="S16">
            <v>0</v>
          </cell>
        </row>
        <row r="17">
          <cell r="A17" t="str">
            <v>N</v>
          </cell>
          <cell r="B17">
            <v>0</v>
          </cell>
          <cell r="C17">
            <v>0</v>
          </cell>
          <cell r="D17">
            <v>0</v>
          </cell>
          <cell r="E17">
            <v>0</v>
          </cell>
          <cell r="F17">
            <v>0</v>
          </cell>
          <cell r="G17">
            <v>0</v>
          </cell>
          <cell r="H17">
            <v>0</v>
          </cell>
          <cell r="I17">
            <v>0</v>
          </cell>
          <cell r="J17" t="str">
            <v/>
          </cell>
          <cell r="K17">
            <v>0</v>
          </cell>
          <cell r="L17" t="str">
            <v/>
          </cell>
          <cell r="M17" t="str">
            <v/>
          </cell>
          <cell r="N17" t="str">
            <v/>
          </cell>
          <cell r="O17" t="str">
            <v/>
          </cell>
          <cell r="P17">
            <v>0</v>
          </cell>
        </row>
        <row r="17">
          <cell r="S17">
            <v>0</v>
          </cell>
        </row>
        <row r="18">
          <cell r="A18" t="str">
            <v>O</v>
          </cell>
          <cell r="B18">
            <v>0</v>
          </cell>
          <cell r="C18">
            <v>0</v>
          </cell>
          <cell r="D18">
            <v>0</v>
          </cell>
          <cell r="E18">
            <v>0</v>
          </cell>
          <cell r="F18">
            <v>0</v>
          </cell>
          <cell r="G18">
            <v>0</v>
          </cell>
          <cell r="H18">
            <v>0</v>
          </cell>
          <cell r="I18">
            <v>0</v>
          </cell>
          <cell r="J18" t="str">
            <v/>
          </cell>
          <cell r="K18">
            <v>0</v>
          </cell>
          <cell r="L18" t="str">
            <v/>
          </cell>
          <cell r="M18" t="str">
            <v/>
          </cell>
          <cell r="N18" t="str">
            <v/>
          </cell>
          <cell r="O18" t="str">
            <v/>
          </cell>
          <cell r="P18">
            <v>0</v>
          </cell>
        </row>
        <row r="18">
          <cell r="S18">
            <v>0</v>
          </cell>
        </row>
        <row r="19">
          <cell r="A19" t="str">
            <v>P</v>
          </cell>
          <cell r="B19">
            <v>0</v>
          </cell>
          <cell r="C19">
            <v>0</v>
          </cell>
          <cell r="D19">
            <v>0</v>
          </cell>
          <cell r="E19">
            <v>0</v>
          </cell>
          <cell r="F19">
            <v>0</v>
          </cell>
          <cell r="G19">
            <v>0</v>
          </cell>
          <cell r="H19">
            <v>0</v>
          </cell>
          <cell r="I19">
            <v>0</v>
          </cell>
          <cell r="J19" t="str">
            <v/>
          </cell>
          <cell r="K19">
            <v>0</v>
          </cell>
          <cell r="L19" t="str">
            <v/>
          </cell>
          <cell r="M19" t="str">
            <v/>
          </cell>
          <cell r="N19" t="str">
            <v/>
          </cell>
          <cell r="O19" t="str">
            <v/>
          </cell>
          <cell r="P19">
            <v>0</v>
          </cell>
        </row>
        <row r="19">
          <cell r="S19">
            <v>0</v>
          </cell>
        </row>
        <row r="20">
          <cell r="A20" t="str">
            <v>Q</v>
          </cell>
          <cell r="B20">
            <v>0</v>
          </cell>
          <cell r="C20">
            <v>0</v>
          </cell>
          <cell r="D20">
            <v>0</v>
          </cell>
          <cell r="E20">
            <v>0</v>
          </cell>
          <cell r="F20">
            <v>0</v>
          </cell>
          <cell r="G20">
            <v>0</v>
          </cell>
          <cell r="H20">
            <v>0</v>
          </cell>
          <cell r="I20">
            <v>0</v>
          </cell>
          <cell r="J20" t="str">
            <v/>
          </cell>
          <cell r="K20">
            <v>0</v>
          </cell>
          <cell r="L20" t="str">
            <v/>
          </cell>
          <cell r="M20" t="str">
            <v/>
          </cell>
          <cell r="N20" t="str">
            <v/>
          </cell>
          <cell r="O20" t="str">
            <v/>
          </cell>
          <cell r="P20">
            <v>0</v>
          </cell>
        </row>
        <row r="20">
          <cell r="S20">
            <v>0</v>
          </cell>
        </row>
      </sheetData>
      <sheetData sheetId="3">
        <row r="4">
          <cell r="A4" t="str">
            <v>A</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4">
        <row r="4">
          <cell r="A4" t="str">
            <v>B</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5">
        <row r="4">
          <cell r="A4" t="str">
            <v>C</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6">
        <row r="4">
          <cell r="A4" t="str">
            <v>D</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7">
        <row r="4">
          <cell r="A4" t="str">
            <v>E</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8">
        <row r="4">
          <cell r="A4" t="str">
            <v>F</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9">
        <row r="4">
          <cell r="A4" t="str">
            <v>G</v>
          </cell>
        </row>
        <row r="5">
          <cell r="B5" t="str">
            <v>直接材料</v>
          </cell>
        </row>
        <row r="6">
          <cell r="B6" t="str">
            <v>直接人工</v>
          </cell>
        </row>
        <row r="7">
          <cell r="B7" t="str">
            <v>制造费用</v>
          </cell>
        </row>
        <row r="8">
          <cell r="B8" t="str">
            <v>其他</v>
          </cell>
        </row>
        <row r="11">
          <cell r="B11" t="str">
            <v>转出数量</v>
          </cell>
        </row>
        <row r="12">
          <cell r="B12" t="str">
            <v>单位成本</v>
          </cell>
          <cell r="C12" t="str">
            <v/>
          </cell>
          <cell r="D12" t="str">
            <v/>
          </cell>
          <cell r="E12" t="str">
            <v/>
          </cell>
          <cell r="F12" t="str">
            <v/>
          </cell>
          <cell r="G12" t="str">
            <v/>
          </cell>
          <cell r="H12" t="str">
            <v/>
          </cell>
          <cell r="I12" t="str">
            <v/>
          </cell>
          <cell r="J12" t="str">
            <v/>
          </cell>
          <cell r="K12" t="str">
            <v/>
          </cell>
          <cell r="L12" t="str">
            <v/>
          </cell>
          <cell r="M12" t="str">
            <v/>
          </cell>
          <cell r="N12" t="str">
            <v/>
          </cell>
          <cell r="O12">
            <v>0</v>
          </cell>
        </row>
        <row r="14">
          <cell r="B14" t="str">
            <v>直接材料比重</v>
          </cell>
          <cell r="C14">
            <v>0</v>
          </cell>
          <cell r="D14">
            <v>0</v>
          </cell>
          <cell r="E14">
            <v>0</v>
          </cell>
          <cell r="F14">
            <v>0</v>
          </cell>
          <cell r="G14">
            <v>0</v>
          </cell>
          <cell r="H14">
            <v>0</v>
          </cell>
          <cell r="I14">
            <v>0</v>
          </cell>
          <cell r="J14">
            <v>0</v>
          </cell>
          <cell r="K14">
            <v>0</v>
          </cell>
          <cell r="L14">
            <v>0</v>
          </cell>
          <cell r="M14">
            <v>0</v>
          </cell>
          <cell r="N14">
            <v>0</v>
          </cell>
          <cell r="O14">
            <v>0</v>
          </cell>
        </row>
        <row r="15">
          <cell r="B15" t="str">
            <v>直接人工比重</v>
          </cell>
          <cell r="C15">
            <v>0</v>
          </cell>
          <cell r="D15">
            <v>0</v>
          </cell>
          <cell r="E15">
            <v>0</v>
          </cell>
          <cell r="F15">
            <v>0</v>
          </cell>
          <cell r="G15">
            <v>0</v>
          </cell>
          <cell r="H15">
            <v>0</v>
          </cell>
          <cell r="I15">
            <v>0</v>
          </cell>
          <cell r="J15">
            <v>0</v>
          </cell>
          <cell r="K15">
            <v>0</v>
          </cell>
          <cell r="L15">
            <v>0</v>
          </cell>
          <cell r="M15">
            <v>0</v>
          </cell>
          <cell r="N15">
            <v>0</v>
          </cell>
          <cell r="O15">
            <v>0</v>
          </cell>
        </row>
        <row r="16">
          <cell r="B16" t="str">
            <v>制造费用比重</v>
          </cell>
          <cell r="C16">
            <v>0</v>
          </cell>
          <cell r="D16">
            <v>0</v>
          </cell>
          <cell r="E16">
            <v>0</v>
          </cell>
          <cell r="F16">
            <v>0</v>
          </cell>
          <cell r="G16">
            <v>0</v>
          </cell>
          <cell r="H16">
            <v>0</v>
          </cell>
          <cell r="I16">
            <v>0</v>
          </cell>
          <cell r="J16">
            <v>0</v>
          </cell>
          <cell r="K16">
            <v>0</v>
          </cell>
          <cell r="L16">
            <v>0</v>
          </cell>
          <cell r="M16">
            <v>0</v>
          </cell>
          <cell r="N16">
            <v>0</v>
          </cell>
          <cell r="O16">
            <v>0</v>
          </cell>
        </row>
        <row r="17">
          <cell r="B17" t="str">
            <v>其他比重</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10"/>
      <sheetData sheetId="11">
        <row r="5">
          <cell r="L5" t="str">
            <v>直接材料</v>
          </cell>
          <cell r="M5" t="str">
            <v>直接人工</v>
          </cell>
          <cell r="N5" t="str">
            <v>制造费用</v>
          </cell>
          <cell r="O5" t="str">
            <v>其他</v>
          </cell>
        </row>
        <row r="6">
          <cell r="A6" t="str">
            <v>A</v>
          </cell>
        </row>
        <row r="6">
          <cell r="F6">
            <v>0</v>
          </cell>
          <cell r="G6">
            <v>0</v>
          </cell>
          <cell r="H6">
            <v>0</v>
          </cell>
          <cell r="I6">
            <v>0</v>
          </cell>
          <cell r="J6">
            <v>0</v>
          </cell>
          <cell r="K6">
            <v>0</v>
          </cell>
          <cell r="L6">
            <v>0</v>
          </cell>
          <cell r="M6">
            <v>0</v>
          </cell>
          <cell r="N6">
            <v>0</v>
          </cell>
          <cell r="O6">
            <v>0</v>
          </cell>
        </row>
        <row r="7">
          <cell r="A7" t="str">
            <v>B</v>
          </cell>
        </row>
        <row r="7">
          <cell r="F7">
            <v>0</v>
          </cell>
          <cell r="G7">
            <v>0</v>
          </cell>
          <cell r="H7">
            <v>0</v>
          </cell>
          <cell r="I7">
            <v>0</v>
          </cell>
          <cell r="J7">
            <v>0</v>
          </cell>
          <cell r="K7">
            <v>0</v>
          </cell>
          <cell r="L7">
            <v>0</v>
          </cell>
          <cell r="M7">
            <v>0</v>
          </cell>
          <cell r="N7">
            <v>0</v>
          </cell>
          <cell r="O7">
            <v>0</v>
          </cell>
        </row>
        <row r="8">
          <cell r="A8" t="str">
            <v>C</v>
          </cell>
        </row>
        <row r="8">
          <cell r="F8">
            <v>0</v>
          </cell>
          <cell r="G8">
            <v>0</v>
          </cell>
          <cell r="H8">
            <v>0</v>
          </cell>
          <cell r="I8">
            <v>0</v>
          </cell>
          <cell r="J8">
            <v>0</v>
          </cell>
          <cell r="K8">
            <v>0</v>
          </cell>
          <cell r="L8">
            <v>0</v>
          </cell>
          <cell r="M8">
            <v>0</v>
          </cell>
          <cell r="N8">
            <v>0</v>
          </cell>
          <cell r="O8">
            <v>0</v>
          </cell>
        </row>
        <row r="9">
          <cell r="A9" t="str">
            <v>D</v>
          </cell>
        </row>
        <row r="9">
          <cell r="F9">
            <v>0</v>
          </cell>
        </row>
        <row r="9">
          <cell r="K9">
            <v>0</v>
          </cell>
          <cell r="L9">
            <v>0</v>
          </cell>
          <cell r="M9">
            <v>0</v>
          </cell>
          <cell r="N9">
            <v>0</v>
          </cell>
          <cell r="O9">
            <v>0</v>
          </cell>
        </row>
        <row r="10">
          <cell r="A10" t="str">
            <v>E</v>
          </cell>
        </row>
        <row r="10">
          <cell r="F10">
            <v>0</v>
          </cell>
        </row>
        <row r="10">
          <cell r="K10">
            <v>0</v>
          </cell>
          <cell r="L10">
            <v>0</v>
          </cell>
          <cell r="M10">
            <v>0</v>
          </cell>
          <cell r="N10">
            <v>0</v>
          </cell>
          <cell r="O10">
            <v>0</v>
          </cell>
        </row>
        <row r="11">
          <cell r="A11" t="str">
            <v>F</v>
          </cell>
        </row>
        <row r="11">
          <cell r="F11">
            <v>0</v>
          </cell>
        </row>
        <row r="11">
          <cell r="K11">
            <v>0</v>
          </cell>
          <cell r="L11">
            <v>0</v>
          </cell>
          <cell r="M11">
            <v>0</v>
          </cell>
          <cell r="N11">
            <v>0</v>
          </cell>
          <cell r="O11">
            <v>0</v>
          </cell>
        </row>
        <row r="12">
          <cell r="A12" t="str">
            <v>G</v>
          </cell>
        </row>
        <row r="12">
          <cell r="F12">
            <v>0</v>
          </cell>
        </row>
        <row r="12">
          <cell r="K12">
            <v>0</v>
          </cell>
          <cell r="L12">
            <v>0</v>
          </cell>
          <cell r="M12">
            <v>0</v>
          </cell>
          <cell r="N12">
            <v>0</v>
          </cell>
          <cell r="O12">
            <v>0</v>
          </cell>
        </row>
        <row r="15">
          <cell r="L15" t="str">
            <v>直接材料</v>
          </cell>
          <cell r="M15" t="str">
            <v>直接人工</v>
          </cell>
          <cell r="N15" t="str">
            <v>制造费用</v>
          </cell>
          <cell r="O15" t="str">
            <v>其他</v>
          </cell>
        </row>
        <row r="16">
          <cell r="A16" t="str">
            <v>A</v>
          </cell>
          <cell r="B16">
            <v>0</v>
          </cell>
          <cell r="C16">
            <v>0</v>
          </cell>
          <cell r="D16">
            <v>0</v>
          </cell>
          <cell r="E16">
            <v>0</v>
          </cell>
        </row>
        <row r="16">
          <cell r="G16">
            <v>0</v>
          </cell>
          <cell r="H16">
            <v>0</v>
          </cell>
          <cell r="I16">
            <v>0</v>
          </cell>
          <cell r="J16">
            <v>0</v>
          </cell>
        </row>
        <row r="16">
          <cell r="L16">
            <v>0</v>
          </cell>
          <cell r="M16">
            <v>0</v>
          </cell>
          <cell r="N16">
            <v>0</v>
          </cell>
          <cell r="O16">
            <v>0</v>
          </cell>
        </row>
        <row r="17">
          <cell r="A17" t="str">
            <v>B</v>
          </cell>
          <cell r="B17">
            <v>0</v>
          </cell>
          <cell r="C17">
            <v>0</v>
          </cell>
          <cell r="D17">
            <v>0</v>
          </cell>
          <cell r="E17">
            <v>0</v>
          </cell>
        </row>
        <row r="17">
          <cell r="G17">
            <v>0</v>
          </cell>
          <cell r="H17">
            <v>0</v>
          </cell>
          <cell r="I17">
            <v>0</v>
          </cell>
          <cell r="J17">
            <v>0</v>
          </cell>
        </row>
        <row r="17">
          <cell r="L17">
            <v>0</v>
          </cell>
          <cell r="M17">
            <v>0</v>
          </cell>
          <cell r="N17">
            <v>0</v>
          </cell>
          <cell r="O17">
            <v>0</v>
          </cell>
        </row>
        <row r="18">
          <cell r="A18" t="str">
            <v>C</v>
          </cell>
          <cell r="B18">
            <v>0</v>
          </cell>
          <cell r="C18">
            <v>0</v>
          </cell>
          <cell r="D18">
            <v>0</v>
          </cell>
          <cell r="E18">
            <v>0</v>
          </cell>
        </row>
        <row r="18">
          <cell r="G18">
            <v>0</v>
          </cell>
          <cell r="H18">
            <v>0</v>
          </cell>
          <cell r="I18">
            <v>0</v>
          </cell>
          <cell r="J18">
            <v>0</v>
          </cell>
        </row>
        <row r="18">
          <cell r="L18">
            <v>0</v>
          </cell>
          <cell r="M18">
            <v>0</v>
          </cell>
          <cell r="N18">
            <v>0</v>
          </cell>
          <cell r="O18">
            <v>0</v>
          </cell>
        </row>
        <row r="19">
          <cell r="A19" t="str">
            <v>D</v>
          </cell>
          <cell r="B19">
            <v>0</v>
          </cell>
          <cell r="C19">
            <v>0</v>
          </cell>
          <cell r="D19">
            <v>0</v>
          </cell>
          <cell r="E19">
            <v>0</v>
          </cell>
        </row>
        <row r="19">
          <cell r="G19">
            <v>0</v>
          </cell>
          <cell r="H19">
            <v>0</v>
          </cell>
          <cell r="I19">
            <v>0</v>
          </cell>
          <cell r="J19">
            <v>0</v>
          </cell>
        </row>
        <row r="19">
          <cell r="L19">
            <v>0</v>
          </cell>
          <cell r="M19">
            <v>0</v>
          </cell>
          <cell r="N19">
            <v>0</v>
          </cell>
          <cell r="O19">
            <v>0</v>
          </cell>
        </row>
        <row r="20">
          <cell r="A20" t="str">
            <v>E</v>
          </cell>
          <cell r="B20">
            <v>0</v>
          </cell>
          <cell r="C20">
            <v>0</v>
          </cell>
          <cell r="D20">
            <v>0</v>
          </cell>
          <cell r="E20">
            <v>0</v>
          </cell>
        </row>
        <row r="20">
          <cell r="G20">
            <v>0</v>
          </cell>
          <cell r="H20">
            <v>0</v>
          </cell>
          <cell r="I20">
            <v>0</v>
          </cell>
          <cell r="J20">
            <v>0</v>
          </cell>
        </row>
        <row r="20">
          <cell r="L20">
            <v>0</v>
          </cell>
          <cell r="M20">
            <v>0</v>
          </cell>
          <cell r="N20">
            <v>0</v>
          </cell>
          <cell r="O20">
            <v>0</v>
          </cell>
        </row>
        <row r="21">
          <cell r="A21" t="str">
            <v>F</v>
          </cell>
          <cell r="B21">
            <v>0</v>
          </cell>
          <cell r="C21">
            <v>0</v>
          </cell>
          <cell r="D21">
            <v>0</v>
          </cell>
          <cell r="E21">
            <v>0</v>
          </cell>
        </row>
        <row r="21">
          <cell r="G21">
            <v>0</v>
          </cell>
          <cell r="H21">
            <v>0</v>
          </cell>
          <cell r="I21">
            <v>0</v>
          </cell>
          <cell r="J21">
            <v>0</v>
          </cell>
        </row>
        <row r="21">
          <cell r="L21">
            <v>0</v>
          </cell>
          <cell r="M21">
            <v>0</v>
          </cell>
          <cell r="N21">
            <v>0</v>
          </cell>
          <cell r="O21">
            <v>0</v>
          </cell>
        </row>
        <row r="22">
          <cell r="A22" t="str">
            <v>G</v>
          </cell>
          <cell r="B22">
            <v>0</v>
          </cell>
          <cell r="C22">
            <v>0</v>
          </cell>
          <cell r="D22">
            <v>0</v>
          </cell>
          <cell r="E22">
            <v>0</v>
          </cell>
        </row>
        <row r="22">
          <cell r="G22">
            <v>0</v>
          </cell>
          <cell r="H22">
            <v>0</v>
          </cell>
          <cell r="I22">
            <v>0</v>
          </cell>
          <cell r="J22">
            <v>0</v>
          </cell>
        </row>
        <row r="22">
          <cell r="L22">
            <v>0</v>
          </cell>
          <cell r="M22">
            <v>0</v>
          </cell>
          <cell r="N22">
            <v>0</v>
          </cell>
          <cell r="O22">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000000">
            <a:alpha val="100000"/>
          </a:srgbClr>
        </a:solidFill>
        <a:ln w="9525" cap="flat" cmpd="sng">
          <a:solidFill>
            <a:srgbClr val="000000"/>
          </a:solidFill>
          <a:prstDash val="solid"/>
          <a:headEnd type="none" w="med" len="med"/>
          <a:tailEnd type="none" w="med" len="med"/>
        </a:ln>
      </a:spPr>
      <a:bodyPr/>
      <a:lstStyle/>
    </a:spDef>
  </a:objectDefaults>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4" Type="http://schemas.openxmlformats.org/officeDocument/2006/relationships/ctrlProp" Target="../ctrlProps/ctrlProp2.xml"/><Relationship Id="rId3" Type="http://schemas.openxmlformats.org/officeDocument/2006/relationships/ctrlProp" Target="../ctrlProps/ctrlProp1.xml"/><Relationship Id="rId2" Type="http://schemas.openxmlformats.org/officeDocument/2006/relationships/vmlDrawing" Target="../drawings/vmlDrawing9.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comments" Target="../comments12.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comments" Target="../comments1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3.xml"/><Relationship Id="rId1"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5" Type="http://schemas.openxmlformats.org/officeDocument/2006/relationships/image" Target="../media/image2.emf"/><Relationship Id="rId4" Type="http://schemas.openxmlformats.org/officeDocument/2006/relationships/oleObject" Target="../embeddings/oleObject1.bin"/><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4" Type="http://schemas.openxmlformats.org/officeDocument/2006/relationships/ctrlProp" Target="../ctrlProps/ctrlProp3.xml"/><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5" Type="http://schemas.openxmlformats.org/officeDocument/2006/relationships/ctrlProp" Target="../ctrlProps/ctrlProp5.xml"/><Relationship Id="rId4" Type="http://schemas.openxmlformats.org/officeDocument/2006/relationships/ctrlProp" Target="../ctrlProps/ctrlProp4.xml"/><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7" Type="http://schemas.openxmlformats.org/officeDocument/2006/relationships/ctrlProp" Target="../ctrlProps/ctrlProp9.xm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9.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9" Type="http://schemas.openxmlformats.org/officeDocument/2006/relationships/ctrlProp" Target="../ctrlProps/ctrlProp16.xml"/><Relationship Id="rId8" Type="http://schemas.openxmlformats.org/officeDocument/2006/relationships/ctrlProp" Target="../ctrlProps/ctrlProp15.xml"/><Relationship Id="rId7" Type="http://schemas.openxmlformats.org/officeDocument/2006/relationships/ctrlProp" Target="../ctrlProps/ctrlProp14.xm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3" Type="http://schemas.openxmlformats.org/officeDocument/2006/relationships/ctrlProp" Target="../ctrlProps/ctrlProp10.xml"/><Relationship Id="rId2" Type="http://schemas.openxmlformats.org/officeDocument/2006/relationships/vmlDrawing" Target="../drawings/vmlDrawing35.vml"/><Relationship Id="rId16" Type="http://schemas.openxmlformats.org/officeDocument/2006/relationships/ctrlProp" Target="../ctrlProps/ctrlProp23.xml"/><Relationship Id="rId15" Type="http://schemas.openxmlformats.org/officeDocument/2006/relationships/ctrlProp" Target="../ctrlProps/ctrlProp22.xml"/><Relationship Id="rId14" Type="http://schemas.openxmlformats.org/officeDocument/2006/relationships/ctrlProp" Target="../ctrlProps/ctrlProp21.xml"/><Relationship Id="rId13" Type="http://schemas.openxmlformats.org/officeDocument/2006/relationships/ctrlProp" Target="../ctrlProps/ctrlProp20.xml"/><Relationship Id="rId12" Type="http://schemas.openxmlformats.org/officeDocument/2006/relationships/ctrlProp" Target="../ctrlProps/ctrlProp19.xml"/><Relationship Id="rId11" Type="http://schemas.openxmlformats.org/officeDocument/2006/relationships/ctrlProp" Target="../ctrlProps/ctrlProp18.xml"/><Relationship Id="rId10" Type="http://schemas.openxmlformats.org/officeDocument/2006/relationships/ctrlProp" Target="../ctrlProps/ctrlProp17.xml"/><Relationship Id="rId1" Type="http://schemas.openxmlformats.org/officeDocument/2006/relationships/drawing" Target="../drawings/drawing31.xml"/></Relationships>
</file>

<file path=xl/worksheets/_rels/sheet43.xml.rels><?xml version="1.0" encoding="UTF-8" standalone="yes"?>
<Relationships xmlns="http://schemas.openxmlformats.org/package/2006/relationships"><Relationship Id="rId9" Type="http://schemas.openxmlformats.org/officeDocument/2006/relationships/ctrlProp" Target="../ctrlProps/ctrlProp30.xml"/><Relationship Id="rId8" Type="http://schemas.openxmlformats.org/officeDocument/2006/relationships/ctrlProp" Target="../ctrlProps/ctrlProp29.xml"/><Relationship Id="rId7" Type="http://schemas.openxmlformats.org/officeDocument/2006/relationships/ctrlProp" Target="../ctrlProps/ctrlProp28.xml"/><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 Id="rId3" Type="http://schemas.openxmlformats.org/officeDocument/2006/relationships/ctrlProp" Target="../ctrlProps/ctrlProp24.xml"/><Relationship Id="rId2" Type="http://schemas.openxmlformats.org/officeDocument/2006/relationships/vmlDrawing" Target="../drawings/vmlDrawing36.vml"/><Relationship Id="rId10" Type="http://schemas.openxmlformats.org/officeDocument/2006/relationships/ctrlProp" Target="../ctrlProps/ctrlProp31.xml"/><Relationship Id="rId1" Type="http://schemas.openxmlformats.org/officeDocument/2006/relationships/drawing" Target="../drawings/drawing3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comments" Target="../comments3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comments" Target="../comments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4"/>
  <sheetViews>
    <sheetView zoomScale="85" zoomScaleNormal="85" workbookViewId="0">
      <selection activeCell="G6" sqref="G6"/>
    </sheetView>
  </sheetViews>
  <sheetFormatPr defaultColWidth="9" defaultRowHeight="14.25"/>
  <cols>
    <col min="3" max="3" width="11.375" customWidth="1"/>
    <col min="6" max="6" width="13" customWidth="1"/>
    <col min="8" max="8" width="7.625" customWidth="1"/>
    <col min="10" max="10" width="13.125" customWidth="1"/>
    <col min="11" max="11" width="7.875" customWidth="1"/>
    <col min="13" max="13" width="13.625" customWidth="1"/>
    <col min="14" max="14" width="7.375" customWidth="1"/>
  </cols>
  <sheetData>
    <row r="1" spans="1:14">
      <c r="A1" s="1146" t="s">
        <v>0</v>
      </c>
      <c r="B1" s="1146"/>
      <c r="C1" s="1146"/>
      <c r="D1" s="1146"/>
      <c r="E1" s="1146"/>
      <c r="F1" s="1146"/>
      <c r="G1" s="1146"/>
      <c r="H1" s="1146"/>
      <c r="I1" s="1146"/>
      <c r="J1" s="1146"/>
      <c r="K1" s="1146"/>
      <c r="L1" s="1146"/>
      <c r="M1" s="1146"/>
      <c r="N1" s="1146"/>
    </row>
    <row r="2" spans="1:14">
      <c r="A2" s="1146"/>
      <c r="B2" s="1146"/>
      <c r="C2" s="1146"/>
      <c r="D2" s="1146"/>
      <c r="E2" s="1146"/>
      <c r="F2" s="1146"/>
      <c r="G2" s="1146"/>
      <c r="H2" s="1146"/>
      <c r="I2" s="1146"/>
      <c r="J2" s="1146"/>
      <c r="K2" s="1146"/>
      <c r="L2" s="1146"/>
      <c r="M2" s="1146"/>
      <c r="N2" s="1146"/>
    </row>
    <row r="3" spans="1:14">
      <c r="A3" s="1146"/>
      <c r="B3" s="1146"/>
      <c r="C3" s="1146"/>
      <c r="D3" s="1146"/>
      <c r="E3" s="1146"/>
      <c r="F3" s="1146"/>
      <c r="G3" s="1146"/>
      <c r="H3" s="1146"/>
      <c r="I3" s="1146"/>
      <c r="J3" s="1146"/>
      <c r="K3" s="1146"/>
      <c r="L3" s="1146"/>
      <c r="M3" s="1146"/>
      <c r="N3" s="1146"/>
    </row>
    <row r="4" spans="1:14">
      <c r="A4" s="1146"/>
      <c r="B4" s="1146"/>
      <c r="C4" s="1146"/>
      <c r="D4" s="1146"/>
      <c r="E4" s="1146"/>
      <c r="F4" s="1146"/>
      <c r="G4" s="1146"/>
      <c r="H4" s="1146"/>
      <c r="I4" s="1146"/>
      <c r="J4" s="1146"/>
      <c r="K4" s="1146"/>
      <c r="L4" s="1146"/>
      <c r="M4" s="1146"/>
      <c r="N4" s="1146"/>
    </row>
    <row r="5" spans="1:14">
      <c r="A5" s="1147"/>
      <c r="B5" s="1147"/>
      <c r="C5" s="1147"/>
      <c r="D5" s="1147"/>
      <c r="E5" s="1147"/>
      <c r="F5" s="1147"/>
      <c r="G5" s="1148"/>
      <c r="H5" s="1147"/>
      <c r="I5" s="1147"/>
      <c r="J5" s="1147"/>
      <c r="K5" s="1147"/>
      <c r="L5" s="1147"/>
      <c r="M5" s="1147"/>
      <c r="N5" s="1147"/>
    </row>
    <row r="6" s="465" customFormat="1" ht="20.1" customHeight="1" spans="1:14">
      <c r="A6" s="1147"/>
      <c r="B6" s="1149" t="s">
        <v>1</v>
      </c>
      <c r="C6" s="1149"/>
      <c r="D6" s="1150"/>
      <c r="E6" s="1149" t="s">
        <v>2</v>
      </c>
      <c r="F6" s="1149"/>
      <c r="G6" s="1148"/>
      <c r="H6" s="1147"/>
      <c r="I6" s="1149" t="s">
        <v>3</v>
      </c>
      <c r="J6" s="1149"/>
      <c r="K6" s="1150"/>
      <c r="L6" s="1149" t="s">
        <v>4</v>
      </c>
      <c r="M6" s="1149"/>
      <c r="N6" s="1147"/>
    </row>
    <row r="7" s="465" customFormat="1" spans="1:14">
      <c r="A7" s="1147"/>
      <c r="B7" s="1149"/>
      <c r="C7" s="1149"/>
      <c r="D7" s="1150"/>
      <c r="E7" s="1149"/>
      <c r="F7" s="1149"/>
      <c r="G7" s="1148"/>
      <c r="H7" s="1147"/>
      <c r="I7" s="1149"/>
      <c r="J7" s="1149"/>
      <c r="K7" s="1150"/>
      <c r="L7" s="1149"/>
      <c r="M7" s="1149"/>
      <c r="N7" s="1147"/>
    </row>
    <row r="8" s="465" customFormat="1" ht="23.1" customHeight="1" spans="1:14">
      <c r="A8" s="1147"/>
      <c r="B8" s="1150"/>
      <c r="C8" s="1150"/>
      <c r="D8" s="1150"/>
      <c r="E8" s="1150"/>
      <c r="F8" s="1150"/>
      <c r="G8" s="1148"/>
      <c r="H8" s="1147"/>
      <c r="I8" s="1150"/>
      <c r="J8" s="1150"/>
      <c r="K8" s="1150"/>
      <c r="L8" s="1150"/>
      <c r="M8" s="1150"/>
      <c r="N8" s="1147"/>
    </row>
    <row r="9" s="465" customFormat="1" ht="17.1" customHeight="1" spans="1:14">
      <c r="A9" s="1147"/>
      <c r="B9" s="1149" t="s">
        <v>5</v>
      </c>
      <c r="C9" s="1149"/>
      <c r="D9" s="1150"/>
      <c r="E9" s="1149"/>
      <c r="F9" s="1149"/>
      <c r="G9" s="1148"/>
      <c r="H9" s="1147"/>
      <c r="I9" s="1149" t="s">
        <v>6</v>
      </c>
      <c r="J9" s="1149"/>
      <c r="K9" s="1150"/>
      <c r="L9" s="1149"/>
      <c r="M9" s="1149"/>
      <c r="N9" s="1147"/>
    </row>
    <row r="10" s="465" customFormat="1" spans="1:14">
      <c r="A10" s="1147"/>
      <c r="B10" s="1149"/>
      <c r="C10" s="1149"/>
      <c r="D10" s="1150"/>
      <c r="E10" s="1149" t="s">
        <v>7</v>
      </c>
      <c r="F10" s="1149"/>
      <c r="G10" s="1148"/>
      <c r="H10" s="1147"/>
      <c r="I10" s="1149"/>
      <c r="J10" s="1149"/>
      <c r="K10" s="1150"/>
      <c r="L10" s="1149" t="s">
        <v>8</v>
      </c>
      <c r="M10" s="1149"/>
      <c r="N10" s="1147"/>
    </row>
    <row r="11" s="465" customFormat="1" spans="1:14">
      <c r="A11" s="1147"/>
      <c r="B11" s="1147"/>
      <c r="C11" s="1147"/>
      <c r="D11" s="1147"/>
      <c r="E11" s="1147"/>
      <c r="F11" s="1147"/>
      <c r="G11" s="1148"/>
      <c r="H11" s="1147"/>
      <c r="I11" s="1147"/>
      <c r="J11" s="1147"/>
      <c r="K11" s="1147"/>
      <c r="L11" s="1147"/>
      <c r="M11" s="1147"/>
      <c r="N11" s="1147"/>
    </row>
    <row r="12" s="465" customFormat="1" spans="1:14">
      <c r="A12" s="1147"/>
      <c r="B12" s="1149" t="s">
        <v>9</v>
      </c>
      <c r="C12" s="1149"/>
      <c r="D12" s="1150"/>
      <c r="E12" s="1149" t="s">
        <v>10</v>
      </c>
      <c r="F12" s="1149"/>
      <c r="G12" s="1148"/>
      <c r="H12" s="1147"/>
      <c r="I12" s="1149" t="s">
        <v>11</v>
      </c>
      <c r="J12" s="1149"/>
      <c r="K12" s="1150"/>
      <c r="L12" s="1149" t="s">
        <v>12</v>
      </c>
      <c r="M12" s="1149"/>
      <c r="N12" s="1147"/>
    </row>
    <row r="13" s="465" customFormat="1" spans="1:14">
      <c r="A13" s="1147"/>
      <c r="B13" s="1149"/>
      <c r="C13" s="1149"/>
      <c r="D13" s="1150"/>
      <c r="E13" s="1149"/>
      <c r="F13" s="1149"/>
      <c r="G13" s="1148"/>
      <c r="H13" s="1147"/>
      <c r="I13" s="1149"/>
      <c r="J13" s="1149"/>
      <c r="K13" s="1150"/>
      <c r="L13" s="1149"/>
      <c r="M13" s="1149"/>
      <c r="N13" s="1147"/>
    </row>
    <row r="14" s="465" customFormat="1" spans="1:14">
      <c r="A14" s="1147"/>
      <c r="B14" s="1150"/>
      <c r="C14" s="1150"/>
      <c r="D14" s="1150"/>
      <c r="E14" s="1150"/>
      <c r="F14" s="1150"/>
      <c r="G14" s="1148"/>
      <c r="H14" s="1147"/>
      <c r="I14" s="1150"/>
      <c r="J14" s="1150"/>
      <c r="K14" s="1150"/>
      <c r="L14" s="1150"/>
      <c r="M14" s="1150"/>
      <c r="N14" s="1147"/>
    </row>
    <row r="15" s="465" customFormat="1" spans="1:14">
      <c r="A15" s="1147"/>
      <c r="B15" s="1149" t="s">
        <v>13</v>
      </c>
      <c r="C15" s="1149"/>
      <c r="D15" s="1150"/>
      <c r="E15" s="1149"/>
      <c r="F15" s="1149"/>
      <c r="G15" s="1148"/>
      <c r="H15" s="1147"/>
      <c r="I15" s="1149" t="s">
        <v>14</v>
      </c>
      <c r="J15" s="1149"/>
      <c r="K15" s="1150"/>
      <c r="L15" s="1149"/>
      <c r="M15" s="1149"/>
      <c r="N15" s="1147"/>
    </row>
    <row r="16" s="465" customFormat="1" spans="1:14">
      <c r="A16" s="1147"/>
      <c r="B16" s="1149"/>
      <c r="C16" s="1149"/>
      <c r="D16" s="1150"/>
      <c r="E16" s="1149" t="s">
        <v>15</v>
      </c>
      <c r="F16" s="1149"/>
      <c r="G16" s="1148"/>
      <c r="H16" s="1147"/>
      <c r="I16" s="1149"/>
      <c r="J16" s="1149"/>
      <c r="K16" s="1150"/>
      <c r="L16" s="1149" t="s">
        <v>16</v>
      </c>
      <c r="M16" s="1149"/>
      <c r="N16" s="1147"/>
    </row>
    <row r="17" s="465" customFormat="1" spans="1:14">
      <c r="A17" s="1147"/>
      <c r="B17" s="1147"/>
      <c r="C17" s="1147"/>
      <c r="D17" s="1147"/>
      <c r="E17" s="1147"/>
      <c r="F17" s="1147"/>
      <c r="G17" s="1148"/>
      <c r="H17" s="1147"/>
      <c r="I17" s="1147"/>
      <c r="J17" s="1147"/>
      <c r="K17" s="1147"/>
      <c r="L17" s="1147"/>
      <c r="M17" s="1147"/>
      <c r="N17" s="1147"/>
    </row>
    <row r="18" s="465" customFormat="1" spans="1:14">
      <c r="A18" s="1147"/>
      <c r="B18" s="1149" t="s">
        <v>17</v>
      </c>
      <c r="C18" s="1149"/>
      <c r="D18" s="1150"/>
      <c r="E18" s="1149" t="s">
        <v>18</v>
      </c>
      <c r="F18" s="1149"/>
      <c r="G18" s="1148"/>
      <c r="H18" s="1147"/>
      <c r="I18" s="1149" t="s">
        <v>19</v>
      </c>
      <c r="J18" s="1149"/>
      <c r="K18" s="1150"/>
      <c r="L18" s="1149" t="s">
        <v>20</v>
      </c>
      <c r="M18" s="1149"/>
      <c r="N18" s="1147"/>
    </row>
    <row r="19" s="465" customFormat="1" spans="1:14">
      <c r="A19" s="1147"/>
      <c r="B19" s="1149"/>
      <c r="C19" s="1149"/>
      <c r="D19" s="1150"/>
      <c r="E19" s="1149"/>
      <c r="F19" s="1149"/>
      <c r="G19" s="1148"/>
      <c r="H19" s="1147"/>
      <c r="I19" s="1149"/>
      <c r="J19" s="1149"/>
      <c r="K19" s="1150"/>
      <c r="L19" s="1149"/>
      <c r="M19" s="1149"/>
      <c r="N19" s="1147"/>
    </row>
    <row r="20" s="465" customFormat="1" spans="1:14">
      <c r="A20" s="1147"/>
      <c r="B20" s="1150"/>
      <c r="C20" s="1150"/>
      <c r="D20" s="1150"/>
      <c r="E20" s="1150"/>
      <c r="F20" s="1150"/>
      <c r="G20" s="1148"/>
      <c r="H20" s="1147"/>
      <c r="I20" s="1150"/>
      <c r="J20" s="1150"/>
      <c r="K20" s="1150"/>
      <c r="L20" s="1150"/>
      <c r="M20" s="1150"/>
      <c r="N20" s="1147"/>
    </row>
    <row r="21" s="465" customFormat="1" spans="1:14">
      <c r="A21" s="1147"/>
      <c r="B21" s="1149" t="s">
        <v>21</v>
      </c>
      <c r="C21" s="1149"/>
      <c r="D21" s="1150"/>
      <c r="E21" s="1149"/>
      <c r="F21" s="1149"/>
      <c r="G21" s="1148"/>
      <c r="H21" s="1147"/>
      <c r="I21" s="1149" t="s">
        <v>22</v>
      </c>
      <c r="J21" s="1149"/>
      <c r="K21" s="1150"/>
      <c r="L21" s="1149"/>
      <c r="M21" s="1149"/>
      <c r="N21" s="1147"/>
    </row>
    <row r="22" s="465" customFormat="1" spans="1:14">
      <c r="A22" s="1147"/>
      <c r="B22" s="1149"/>
      <c r="C22" s="1149"/>
      <c r="D22" s="1150"/>
      <c r="E22" s="1151" t="s">
        <v>23</v>
      </c>
      <c r="F22" s="1151"/>
      <c r="G22" s="1148"/>
      <c r="H22" s="1147"/>
      <c r="I22" s="1149"/>
      <c r="J22" s="1149"/>
      <c r="K22" s="1150"/>
      <c r="L22" s="1149" t="s">
        <v>24</v>
      </c>
      <c r="M22" s="1149"/>
      <c r="N22" s="1147"/>
    </row>
    <row r="23" ht="26.1" customHeight="1" spans="1:14">
      <c r="A23" s="1147"/>
      <c r="B23" s="1147"/>
      <c r="C23" s="1147"/>
      <c r="D23" s="1147"/>
      <c r="E23" s="1147"/>
      <c r="F23" s="1147"/>
      <c r="G23" s="1148"/>
      <c r="H23" s="1147"/>
      <c r="I23" s="1147"/>
      <c r="J23" s="1147"/>
      <c r="K23" s="1147"/>
      <c r="L23" s="1147"/>
      <c r="M23" s="1147"/>
      <c r="N23" s="1147"/>
    </row>
    <row r="24" spans="1:14">
      <c r="A24" s="1147"/>
      <c r="B24" s="1147"/>
      <c r="C24" s="1147"/>
      <c r="D24" s="1147"/>
      <c r="E24" s="1147"/>
      <c r="F24" s="1147"/>
      <c r="G24" s="1148"/>
      <c r="H24" s="1147"/>
      <c r="I24" s="1147"/>
      <c r="J24" s="1147"/>
      <c r="K24" s="1147"/>
      <c r="L24" s="1147"/>
      <c r="M24" s="1147"/>
      <c r="N24" s="1147"/>
    </row>
  </sheetData>
  <mergeCells count="31">
    <mergeCell ref="B8:C8"/>
    <mergeCell ref="I8:J8"/>
    <mergeCell ref="E10:F10"/>
    <mergeCell ref="L10:M10"/>
    <mergeCell ref="B14:C14"/>
    <mergeCell ref="I14:J14"/>
    <mergeCell ref="E16:F16"/>
    <mergeCell ref="L16:M16"/>
    <mergeCell ref="B20:C20"/>
    <mergeCell ref="I20:J20"/>
    <mergeCell ref="E22:F22"/>
    <mergeCell ref="L22:M22"/>
    <mergeCell ref="B9:C10"/>
    <mergeCell ref="I9:J10"/>
    <mergeCell ref="B12:C13"/>
    <mergeCell ref="L12:M13"/>
    <mergeCell ref="E12:F13"/>
    <mergeCell ref="I12:J13"/>
    <mergeCell ref="B15:C16"/>
    <mergeCell ref="I15:J16"/>
    <mergeCell ref="B18:C19"/>
    <mergeCell ref="L18:M19"/>
    <mergeCell ref="E18:F19"/>
    <mergeCell ref="I18:J19"/>
    <mergeCell ref="B21:C22"/>
    <mergeCell ref="I21:J22"/>
    <mergeCell ref="A1:N4"/>
    <mergeCell ref="B6:C7"/>
    <mergeCell ref="L6:M7"/>
    <mergeCell ref="E6:F7"/>
    <mergeCell ref="I6:J7"/>
  </mergeCells>
  <pageMargins left="0.75" right="0.75" top="1" bottom="1" header="0.509027777777778" footer="0.509027777777778"/>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H35"/>
  <sheetViews>
    <sheetView zoomScale="90" zoomScaleNormal="90" topLeftCell="A3" workbookViewId="0">
      <selection activeCell="A43" sqref="A43"/>
    </sheetView>
  </sheetViews>
  <sheetFormatPr defaultColWidth="8" defaultRowHeight="12.75" outlineLevelCol="7"/>
  <cols>
    <col min="1" max="1" width="22.625" style="882" customWidth="1"/>
    <col min="2" max="2" width="36.375" style="882" customWidth="1"/>
    <col min="3" max="6" width="10.625" style="882" customWidth="1"/>
    <col min="7" max="16384" width="8" style="882"/>
  </cols>
  <sheetData>
    <row r="1" ht="29.25" spans="1:6">
      <c r="A1" s="654" t="s">
        <v>435</v>
      </c>
      <c r="B1" s="654"/>
      <c r="C1" s="654"/>
      <c r="D1" s="654"/>
      <c r="E1" s="654"/>
      <c r="F1" s="654"/>
    </row>
    <row r="2" ht="15" customHeight="1" spans="1:6">
      <c r="A2" s="883"/>
      <c r="B2" s="884" t="s">
        <v>408</v>
      </c>
      <c r="C2" s="885"/>
      <c r="D2" s="886"/>
      <c r="E2" s="886"/>
      <c r="F2" s="887" t="s">
        <v>198</v>
      </c>
    </row>
    <row r="3" ht="16.5" spans="1:6">
      <c r="A3" s="888" t="s">
        <v>409</v>
      </c>
      <c r="B3" s="888" t="s">
        <v>436</v>
      </c>
      <c r="C3" s="889" t="s">
        <v>437</v>
      </c>
      <c r="D3" s="888" t="s">
        <v>438</v>
      </c>
      <c r="E3" s="888" t="s">
        <v>439</v>
      </c>
      <c r="F3" s="888" t="s">
        <v>440</v>
      </c>
    </row>
    <row r="4" ht="16.5" spans="1:6">
      <c r="A4" s="890" t="s">
        <v>441</v>
      </c>
      <c r="B4" s="891"/>
      <c r="C4" s="892"/>
      <c r="D4" s="891"/>
      <c r="E4" s="891"/>
      <c r="F4" s="888"/>
    </row>
    <row r="5" ht="16.5" spans="1:6">
      <c r="A5" s="891" t="s">
        <v>442</v>
      </c>
      <c r="B5" s="891" t="s">
        <v>219</v>
      </c>
      <c r="C5" s="893">
        <f>资产负债表!B17-资产负债表!E18</f>
        <v>505595</v>
      </c>
      <c r="D5" s="894">
        <f>资产负债表!C17-资产负债表!F18</f>
        <v>140266</v>
      </c>
      <c r="E5" s="894">
        <f t="shared" ref="E5:E9" si="0">C5-D5</f>
        <v>365329</v>
      </c>
      <c r="F5" s="895"/>
    </row>
    <row r="6" ht="16.5" spans="1:6">
      <c r="A6" s="891" t="s">
        <v>443</v>
      </c>
      <c r="B6" s="891" t="s">
        <v>444</v>
      </c>
      <c r="C6" s="896">
        <f>资产负债表!B17/资产负债表!E18</f>
        <v>5.56300822179905</v>
      </c>
      <c r="D6" s="897">
        <f>资产负债表!C17/资产负债表!F18</f>
        <v>1.26283480678927</v>
      </c>
      <c r="E6" s="897">
        <f t="shared" si="0"/>
        <v>4.30017341500978</v>
      </c>
      <c r="F6" s="898">
        <v>1.6</v>
      </c>
    </row>
    <row r="7" ht="16.5" spans="1:6">
      <c r="A7" s="891" t="s">
        <v>445</v>
      </c>
      <c r="B7" s="891" t="s">
        <v>446</v>
      </c>
      <c r="C7" s="896">
        <f>(资产负债表!B17-资产负债表!B14-资产负债表!B15-资产负债表!B16-资产负债表!B10)/资产负债表!E18</f>
        <v>5.49796485654721</v>
      </c>
      <c r="D7" s="896">
        <f>(资产负债表!C17-资产负债表!C14-资产负债表!C15-资产负债表!C16-资产负债表!C10)/资产负债表!F18</f>
        <v>1.2251539352329</v>
      </c>
      <c r="E7" s="897">
        <f t="shared" si="0"/>
        <v>4.27281092131431</v>
      </c>
      <c r="F7" s="898">
        <v>0.8</v>
      </c>
    </row>
    <row r="8" ht="16.5" spans="1:6">
      <c r="A8" s="891" t="s">
        <v>447</v>
      </c>
      <c r="B8" s="891" t="s">
        <v>448</v>
      </c>
      <c r="C8" s="896">
        <f>(资产负债表!B6+资产负债表!B7)/资产负债表!E18</f>
        <v>0.162206799454888</v>
      </c>
      <c r="D8" s="897">
        <f>(资产负债表!C6+资产负债表!C7)/资产负债表!F18</f>
        <v>0.0417864357107254</v>
      </c>
      <c r="E8" s="897">
        <f t="shared" si="0"/>
        <v>0.120420363744163</v>
      </c>
      <c r="F8" s="895"/>
    </row>
    <row r="9" ht="16.5" spans="1:6">
      <c r="A9" s="891" t="s">
        <v>449</v>
      </c>
      <c r="B9" s="891" t="s">
        <v>450</v>
      </c>
      <c r="C9" s="899">
        <f>现金流量表!B15/资产负债表!E18*100%</f>
        <v>0</v>
      </c>
      <c r="D9" s="900">
        <f>现金流量表!C15/资产负债表!F18*100%</f>
        <v>0</v>
      </c>
      <c r="E9" s="900">
        <f t="shared" si="0"/>
        <v>0</v>
      </c>
      <c r="F9" s="901">
        <v>0.12</v>
      </c>
    </row>
    <row r="10" ht="16.5" spans="1:6">
      <c r="A10" s="890" t="s">
        <v>451</v>
      </c>
      <c r="B10" s="891"/>
      <c r="C10" s="902"/>
      <c r="D10" s="903"/>
      <c r="E10" s="903"/>
      <c r="F10" s="888"/>
    </row>
    <row r="11" ht="16.5" spans="1:6">
      <c r="A11" s="891" t="s">
        <v>452</v>
      </c>
      <c r="B11" s="891" t="s">
        <v>453</v>
      </c>
      <c r="C11" s="899">
        <f>(资产负债表!E28/资产负债表!B37)*100%</f>
        <v>0.150766944834127</v>
      </c>
      <c r="D11" s="900">
        <f>(资产负债表!F28/资产负债表!C37)*100%</f>
        <v>0.395250178122024</v>
      </c>
      <c r="E11" s="900">
        <f t="shared" ref="E11:E17" si="1">C11-D11</f>
        <v>-0.244483233287897</v>
      </c>
      <c r="F11" s="901">
        <v>0.65</v>
      </c>
    </row>
    <row r="12" ht="16.5" spans="1:6">
      <c r="A12" s="891" t="s">
        <v>454</v>
      </c>
      <c r="B12" s="891" t="s">
        <v>455</v>
      </c>
      <c r="C12" s="899">
        <f>资产负债表!E28/资产负债表!E35*100%</f>
        <v>0.332409332409332</v>
      </c>
      <c r="D12" s="900">
        <f>资产负债表!F28/资产负债表!F35*100%</f>
        <v>1.6009996009996</v>
      </c>
      <c r="E12" s="900">
        <f t="shared" si="1"/>
        <v>-1.26859026859027</v>
      </c>
      <c r="F12" s="901">
        <v>1.5</v>
      </c>
    </row>
    <row r="13" ht="16.5" spans="1:6">
      <c r="A13" s="891" t="s">
        <v>456</v>
      </c>
      <c r="B13" s="891" t="s">
        <v>457</v>
      </c>
      <c r="C13" s="896">
        <f>资产负债表!B37/资产负债表!E35*100%</f>
        <v>2.2047892047892</v>
      </c>
      <c r="D13" s="897">
        <f>资产负债表!C37/资产负债表!F35*100%</f>
        <v>4.05059805059805</v>
      </c>
      <c r="E13" s="897">
        <f t="shared" si="1"/>
        <v>-1.84580884580885</v>
      </c>
      <c r="F13" s="901">
        <v>2.5</v>
      </c>
    </row>
    <row r="14" ht="16.5" spans="1:6">
      <c r="A14" s="891" t="s">
        <v>458</v>
      </c>
      <c r="B14" s="891" t="s">
        <v>459</v>
      </c>
      <c r="C14" s="899">
        <f>资产负债表!E27/(资产负债表!E27+资产负债表!E35)*100%</f>
        <v>0</v>
      </c>
      <c r="D14" s="900">
        <f>资产负债表!F27/(资产负债表!F27+资产负债表!F35)*100%</f>
        <v>0</v>
      </c>
      <c r="E14" s="900">
        <f t="shared" si="1"/>
        <v>0</v>
      </c>
      <c r="F14" s="901">
        <v>0.5</v>
      </c>
    </row>
    <row r="15" ht="16.5" spans="1:6">
      <c r="A15" s="891" t="s">
        <v>460</v>
      </c>
      <c r="B15" s="891" t="s">
        <v>461</v>
      </c>
      <c r="C15" s="896">
        <f>(利润表!B21+利润表!B20+利润表!B10)/利润表!B10</f>
        <v>7.13688461538462</v>
      </c>
      <c r="D15" s="896">
        <f>(利润表!C21+利润表!C20+利润表!C10)/利润表!C10</f>
        <v>2.76053297143915</v>
      </c>
      <c r="E15" s="897">
        <f t="shared" si="1"/>
        <v>4.37635164394547</v>
      </c>
      <c r="F15" s="898">
        <v>3.5</v>
      </c>
    </row>
    <row r="16" ht="16.5" spans="1:6">
      <c r="A16" s="891" t="s">
        <v>462</v>
      </c>
      <c r="B16" s="891" t="s">
        <v>463</v>
      </c>
      <c r="C16" s="896">
        <f>现金流量表!B14/利润表!B10</f>
        <v>2.10623076923077</v>
      </c>
      <c r="D16" s="896">
        <f>现金流量表!C14/利润表!C10</f>
        <v>0</v>
      </c>
      <c r="E16" s="897">
        <f t="shared" si="1"/>
        <v>2.10623076923077</v>
      </c>
      <c r="F16" s="898">
        <v>1.4</v>
      </c>
    </row>
    <row r="17" ht="16.5" spans="1:8">
      <c r="A17" s="891" t="s">
        <v>464</v>
      </c>
      <c r="B17" s="891" t="s">
        <v>465</v>
      </c>
      <c r="C17" s="899">
        <f>现金流量表!B14/资产负债表!E28</f>
        <v>0.49422849561835</v>
      </c>
      <c r="D17" s="899">
        <f>现金流量表!C14/资产负债表!F28</f>
        <v>0</v>
      </c>
      <c r="E17" s="900">
        <f t="shared" si="1"/>
        <v>0.49422849561835</v>
      </c>
      <c r="F17" s="901">
        <v>0.07</v>
      </c>
      <c r="H17" s="904"/>
    </row>
    <row r="18" ht="16.5" spans="1:6">
      <c r="A18" s="890" t="s">
        <v>466</v>
      </c>
      <c r="B18" s="891"/>
      <c r="C18" s="892"/>
      <c r="D18" s="891"/>
      <c r="E18" s="891"/>
      <c r="F18" s="888"/>
    </row>
    <row r="19" ht="16.5" spans="1:6">
      <c r="A19" s="891" t="s">
        <v>467</v>
      </c>
      <c r="B19" s="891" t="s">
        <v>468</v>
      </c>
      <c r="C19" s="896">
        <f>利润表!B5/(资产负债表!B9+资产负债表!B8)</f>
        <v>0.572643666751927</v>
      </c>
      <c r="D19" s="896">
        <f>利润表!C5/(资产负债表!C9+资产负债表!C8)</f>
        <v>0.287785829785474</v>
      </c>
      <c r="E19" s="897">
        <f t="shared" ref="E19:E25" si="2">C19-D19</f>
        <v>0.284857836966453</v>
      </c>
      <c r="F19" s="898">
        <v>8</v>
      </c>
    </row>
    <row r="20" ht="16.5" spans="1:6">
      <c r="A20" s="891" t="s">
        <v>469</v>
      </c>
      <c r="B20" s="891" t="s">
        <v>470</v>
      </c>
      <c r="C20" s="896">
        <f>利润表!B5/资产负债表!B14</f>
        <v>47.2217849834724</v>
      </c>
      <c r="D20" s="896">
        <f>利润表!C5/资产负债表!C14</f>
        <v>24.002400240024</v>
      </c>
      <c r="E20" s="897">
        <f t="shared" si="2"/>
        <v>23.2193847434484</v>
      </c>
      <c r="F20" s="898">
        <v>6</v>
      </c>
    </row>
    <row r="21" ht="16.5" spans="1:6">
      <c r="A21" s="891" t="s">
        <v>471</v>
      </c>
      <c r="B21" s="891" t="s">
        <v>472</v>
      </c>
      <c r="C21" s="896">
        <f>利润表!B5/资产负债表!B17</f>
        <v>0.486698529197045</v>
      </c>
      <c r="D21" s="896">
        <f>利润表!C5/资产负债表!C17</f>
        <v>0.23741267664987</v>
      </c>
      <c r="E21" s="897">
        <f t="shared" si="2"/>
        <v>0.249285852547175</v>
      </c>
      <c r="F21" s="898">
        <v>1.5</v>
      </c>
    </row>
    <row r="22" ht="16.5" spans="1:6">
      <c r="A22" s="891" t="s">
        <v>473</v>
      </c>
      <c r="B22" s="891" t="s">
        <v>474</v>
      </c>
      <c r="C22" s="896">
        <f>利润表!B5/C5</f>
        <v>0.593360298262443</v>
      </c>
      <c r="D22" s="896">
        <f>利润表!C5/D5</f>
        <v>1.14068983217601</v>
      </c>
      <c r="E22" s="897">
        <f t="shared" si="2"/>
        <v>-0.547329533913565</v>
      </c>
      <c r="F22" s="898">
        <v>4</v>
      </c>
    </row>
    <row r="23" ht="16.5" spans="1:6">
      <c r="A23" s="891" t="s">
        <v>475</v>
      </c>
      <c r="B23" s="891" t="s">
        <v>476</v>
      </c>
      <c r="C23" s="896">
        <f>利润表!B5/资产负债表!B36</f>
        <v>2.53098345580481</v>
      </c>
      <c r="D23" s="896">
        <f>利润表!C5/资产负债表!C36</f>
        <v>0.236593293171622</v>
      </c>
      <c r="E23" s="897">
        <f t="shared" si="2"/>
        <v>2.29439016263319</v>
      </c>
      <c r="F23" s="898">
        <v>0.8</v>
      </c>
    </row>
    <row r="24" ht="16.5" spans="1:6">
      <c r="A24" s="891" t="s">
        <v>477</v>
      </c>
      <c r="B24" s="891" t="s">
        <v>478</v>
      </c>
      <c r="C24" s="896">
        <f>利润表!B5/资产负债表!B37</f>
        <v>0.408202697131288</v>
      </c>
      <c r="D24" s="896">
        <f>利润表!C5/资产负债表!C37</f>
        <v>0.11850113835156</v>
      </c>
      <c r="E24" s="897">
        <f t="shared" si="2"/>
        <v>0.289701558779727</v>
      </c>
      <c r="F24" s="898">
        <v>0.5</v>
      </c>
    </row>
    <row r="25" ht="16.5" spans="1:6">
      <c r="A25" s="891" t="s">
        <v>479</v>
      </c>
      <c r="B25" s="891" t="s">
        <v>480</v>
      </c>
      <c r="C25" s="896">
        <f>现金流量表!B14/资产负债表!B37*100%</f>
        <v>0.0745133203343452</v>
      </c>
      <c r="D25" s="896">
        <f>现金流量表!C14/资产负债表!C37*100%</f>
        <v>0</v>
      </c>
      <c r="E25" s="897">
        <f t="shared" si="2"/>
        <v>0.0745133203343452</v>
      </c>
      <c r="F25" s="901">
        <v>0.04</v>
      </c>
    </row>
    <row r="26" ht="16.5" spans="1:6">
      <c r="A26" s="890" t="s">
        <v>481</v>
      </c>
      <c r="B26" s="891"/>
      <c r="C26" s="892"/>
      <c r="D26" s="891"/>
      <c r="E26" s="891"/>
      <c r="F26" s="888"/>
    </row>
    <row r="27" ht="16.5" spans="1:6">
      <c r="A27" s="891" t="s">
        <v>482</v>
      </c>
      <c r="B27" s="891" t="s">
        <v>483</v>
      </c>
      <c r="C27" s="899">
        <f>利润表!B21/利润表!B5*100%</f>
        <v>0.529643333333333</v>
      </c>
      <c r="D27" s="899">
        <f>利润表!C21/利润表!C5*100%</f>
        <v>0.35675</v>
      </c>
      <c r="E27" s="900">
        <f t="shared" ref="E27:E29" si="3">C27-D27</f>
        <v>0.172893333333333</v>
      </c>
      <c r="F27" s="901">
        <v>0.08</v>
      </c>
    </row>
    <row r="28" ht="16.5" spans="1:6">
      <c r="A28" s="891" t="s">
        <v>484</v>
      </c>
      <c r="B28" s="891" t="s">
        <v>485</v>
      </c>
      <c r="C28" s="899">
        <f>利润表!B21/资产负债表!B37*100%</f>
        <v>0.216201837184272</v>
      </c>
      <c r="D28" s="899">
        <f>利润表!C21/资产负债表!C37*100%</f>
        <v>0.0422752811069191</v>
      </c>
      <c r="E28" s="900">
        <f t="shared" si="3"/>
        <v>0.173926556077353</v>
      </c>
      <c r="F28" s="901">
        <v>0.05</v>
      </c>
    </row>
    <row r="29" ht="16.5" spans="1:6">
      <c r="A29" s="891" t="s">
        <v>486</v>
      </c>
      <c r="B29" s="891" t="s">
        <v>487</v>
      </c>
      <c r="C29" s="899">
        <f>利润表!B21/资产负债表!E35*100%</f>
        <v>0.476679476679477</v>
      </c>
      <c r="D29" s="899">
        <f>利润表!C21/资产负债表!F35*100%</f>
        <v>0.171240171240171</v>
      </c>
      <c r="E29" s="900">
        <f t="shared" si="3"/>
        <v>0.305439305439305</v>
      </c>
      <c r="F29" s="901">
        <v>0.062</v>
      </c>
    </row>
    <row r="30" ht="16.5" spans="1:6">
      <c r="A30" s="890" t="s">
        <v>488</v>
      </c>
      <c r="B30" s="891"/>
      <c r="C30" s="892"/>
      <c r="D30" s="891"/>
      <c r="E30" s="891"/>
      <c r="F30" s="888"/>
    </row>
    <row r="31" ht="16.5" spans="1:6">
      <c r="A31" s="891" t="s">
        <v>489</v>
      </c>
      <c r="B31" s="891" t="s">
        <v>490</v>
      </c>
      <c r="C31" s="905"/>
      <c r="D31" s="906"/>
      <c r="E31" s="907">
        <f t="shared" ref="E31:E33" si="4">C31-D31</f>
        <v>0</v>
      </c>
      <c r="F31" s="895"/>
    </row>
    <row r="32" ht="16.5" spans="1:6">
      <c r="A32" s="891" t="s">
        <v>491</v>
      </c>
      <c r="B32" s="891" t="s">
        <v>492</v>
      </c>
      <c r="C32" s="905"/>
      <c r="D32" s="906"/>
      <c r="E32" s="907">
        <f t="shared" si="4"/>
        <v>0</v>
      </c>
      <c r="F32" s="895"/>
    </row>
    <row r="33" ht="16.5" spans="1:6">
      <c r="A33" s="891" t="s">
        <v>493</v>
      </c>
      <c r="B33" s="891" t="s">
        <v>494</v>
      </c>
      <c r="C33" s="905"/>
      <c r="D33" s="906"/>
      <c r="E33" s="907">
        <f t="shared" si="4"/>
        <v>0</v>
      </c>
      <c r="F33" s="895"/>
    </row>
    <row r="34" ht="16.5" spans="1:6">
      <c r="A34" s="890" t="s">
        <v>495</v>
      </c>
      <c r="B34" s="891"/>
      <c r="C34" s="892"/>
      <c r="D34" s="891"/>
      <c r="E34" s="891"/>
      <c r="F34" s="888"/>
    </row>
    <row r="35" ht="16.5" spans="1:6">
      <c r="A35" s="891" t="s">
        <v>496</v>
      </c>
      <c r="B35" s="891" t="s">
        <v>497</v>
      </c>
      <c r="C35" s="900">
        <f>C27*C24*C13*100%</f>
        <v>0.476679476679477</v>
      </c>
      <c r="D35" s="900">
        <f>D27*D24*D13*100%</f>
        <v>0.171240171240171</v>
      </c>
      <c r="E35" s="900">
        <f>C35-D35</f>
        <v>0.305439305439305</v>
      </c>
      <c r="F35" s="901">
        <v>0.062</v>
      </c>
    </row>
  </sheetData>
  <mergeCells count="1">
    <mergeCell ref="A1:F1"/>
  </mergeCells>
  <conditionalFormatting sqref="C6">
    <cfRule type="cellIs" dxfId="2" priority="1" stopIfTrue="1" operator="lessThan">
      <formula>$F$6</formula>
    </cfRule>
    <cfRule type="cellIs" dxfId="3" priority="2" stopIfTrue="1" operator="greaterThan">
      <formula>$F$6</formula>
    </cfRule>
  </conditionalFormatting>
  <conditionalFormatting sqref="C7">
    <cfRule type="cellIs" dxfId="2" priority="3" stopIfTrue="1" operator="lessThan">
      <formula>$F$7</formula>
    </cfRule>
    <cfRule type="cellIs" dxfId="3" priority="4" stopIfTrue="1" operator="greaterThan">
      <formula>$F$7</formula>
    </cfRule>
  </conditionalFormatting>
  <conditionalFormatting sqref="C9">
    <cfRule type="cellIs" dxfId="2" priority="5" stopIfTrue="1" operator="lessThan">
      <formula>$F$9</formula>
    </cfRule>
    <cfRule type="cellIs" dxfId="3" priority="6" stopIfTrue="1" operator="greaterThan">
      <formula>$F$9</formula>
    </cfRule>
  </conditionalFormatting>
  <conditionalFormatting sqref="C11">
    <cfRule type="cellIs" dxfId="2" priority="7" stopIfTrue="1" operator="greaterThan">
      <formula>$F$11</formula>
    </cfRule>
    <cfRule type="cellIs" dxfId="3" priority="8" stopIfTrue="1" operator="lessThan">
      <formula>$F$11</formula>
    </cfRule>
  </conditionalFormatting>
  <conditionalFormatting sqref="C12">
    <cfRule type="cellIs" dxfId="2" priority="9" stopIfTrue="1" operator="greaterThan">
      <formula>$F$12</formula>
    </cfRule>
    <cfRule type="cellIs" dxfId="3" priority="10" stopIfTrue="1" operator="lessThan">
      <formula>$F$12</formula>
    </cfRule>
  </conditionalFormatting>
  <conditionalFormatting sqref="C13">
    <cfRule type="cellIs" dxfId="2" priority="11" stopIfTrue="1" operator="greaterThan">
      <formula>$F$13</formula>
    </cfRule>
    <cfRule type="cellIs" dxfId="3" priority="12" stopIfTrue="1" operator="lessThan">
      <formula>$F$13</formula>
    </cfRule>
  </conditionalFormatting>
  <conditionalFormatting sqref="C14">
    <cfRule type="cellIs" dxfId="2" priority="13" stopIfTrue="1" operator="greaterThan">
      <formula>$F$14</formula>
    </cfRule>
    <cfRule type="cellIs" dxfId="3" priority="14" stopIfTrue="1" operator="lessThan">
      <formula>$F$14</formula>
    </cfRule>
  </conditionalFormatting>
  <conditionalFormatting sqref="C15:D15">
    <cfRule type="cellIs" dxfId="2" priority="15" stopIfTrue="1" operator="lessThan">
      <formula>$F$15</formula>
    </cfRule>
    <cfRule type="cellIs" dxfId="3" priority="16" stopIfTrue="1" operator="greaterThan">
      <formula>$F$15</formula>
    </cfRule>
  </conditionalFormatting>
  <conditionalFormatting sqref="C16:D16">
    <cfRule type="cellIs" dxfId="2" priority="17" stopIfTrue="1" operator="lessThan">
      <formula>$F$16</formula>
    </cfRule>
    <cfRule type="cellIs" dxfId="3" priority="18" stopIfTrue="1" operator="greaterThan">
      <formula>$F$16</formula>
    </cfRule>
  </conditionalFormatting>
  <conditionalFormatting sqref="C17:D17">
    <cfRule type="cellIs" dxfId="2" priority="19" stopIfTrue="1" operator="lessThan">
      <formula>$F$17</formula>
    </cfRule>
    <cfRule type="cellIs" dxfId="3" priority="20" stopIfTrue="1" operator="greaterThan">
      <formula>$F$17</formula>
    </cfRule>
  </conditionalFormatting>
  <conditionalFormatting sqref="C19:D19">
    <cfRule type="cellIs" dxfId="2" priority="21" stopIfTrue="1" operator="lessThan">
      <formula>$F$19</formula>
    </cfRule>
    <cfRule type="cellIs" dxfId="3" priority="22" stopIfTrue="1" operator="greaterThan">
      <formula>$F$19</formula>
    </cfRule>
  </conditionalFormatting>
  <conditionalFormatting sqref="C20:D20">
    <cfRule type="cellIs" dxfId="2" priority="23" stopIfTrue="1" operator="lessThan">
      <formula>$F$20</formula>
    </cfRule>
    <cfRule type="cellIs" dxfId="3" priority="24" stopIfTrue="1" operator="greaterThan">
      <formula>$F$20</formula>
    </cfRule>
  </conditionalFormatting>
  <conditionalFormatting sqref="C21:D21">
    <cfRule type="cellIs" dxfId="2" priority="25" stopIfTrue="1" operator="lessThan">
      <formula>$F$21</formula>
    </cfRule>
    <cfRule type="cellIs" dxfId="3" priority="26" stopIfTrue="1" operator="greaterThan">
      <formula>$F$21</formula>
    </cfRule>
  </conditionalFormatting>
  <conditionalFormatting sqref="C22:D22">
    <cfRule type="cellIs" dxfId="2" priority="27" stopIfTrue="1" operator="lessThan">
      <formula>$F$22</formula>
    </cfRule>
    <cfRule type="cellIs" dxfId="3" priority="28" stopIfTrue="1" operator="greaterThan">
      <formula>$F$22</formula>
    </cfRule>
  </conditionalFormatting>
  <conditionalFormatting sqref="C23:D23">
    <cfRule type="cellIs" dxfId="2" priority="29" stopIfTrue="1" operator="lessThan">
      <formula>$F$23</formula>
    </cfRule>
    <cfRule type="cellIs" dxfId="3" priority="30" stopIfTrue="1" operator="greaterThan">
      <formula>$F$23</formula>
    </cfRule>
  </conditionalFormatting>
  <conditionalFormatting sqref="C24:D24">
    <cfRule type="cellIs" dxfId="2" priority="31" stopIfTrue="1" operator="lessThan">
      <formula>$F$24</formula>
    </cfRule>
    <cfRule type="cellIs" dxfId="3" priority="32" stopIfTrue="1" operator="greaterThan">
      <formula>$F$24</formula>
    </cfRule>
  </conditionalFormatting>
  <conditionalFormatting sqref="C25:D25">
    <cfRule type="cellIs" dxfId="2" priority="33" stopIfTrue="1" operator="lessThan">
      <formula>$F$25</formula>
    </cfRule>
    <cfRule type="cellIs" dxfId="3" priority="34" stopIfTrue="1" operator="greaterThan">
      <formula>$F$25</formula>
    </cfRule>
  </conditionalFormatting>
  <conditionalFormatting sqref="C27:D27">
    <cfRule type="cellIs" dxfId="2" priority="35" stopIfTrue="1" operator="lessThan">
      <formula>$F$27</formula>
    </cfRule>
    <cfRule type="cellIs" dxfId="3" priority="36" stopIfTrue="1" operator="greaterThan">
      <formula>$F$27</formula>
    </cfRule>
  </conditionalFormatting>
  <conditionalFormatting sqref="C28:D28">
    <cfRule type="cellIs" dxfId="2" priority="37" stopIfTrue="1" operator="lessThan">
      <formula>$F$28</formula>
    </cfRule>
    <cfRule type="cellIs" dxfId="3" priority="38" stopIfTrue="1" operator="greaterThan">
      <formula>$F$28</formula>
    </cfRule>
  </conditionalFormatting>
  <conditionalFormatting sqref="C29:D29">
    <cfRule type="cellIs" dxfId="2" priority="39" stopIfTrue="1" operator="lessThan">
      <formula>$F$29</formula>
    </cfRule>
    <cfRule type="cellIs" dxfId="3" priority="40" stopIfTrue="1" operator="greaterThan">
      <formula>$F$29</formula>
    </cfRule>
  </conditionalFormatting>
  <conditionalFormatting sqref="C35">
    <cfRule type="cellIs" dxfId="2" priority="41" stopIfTrue="1" operator="lessThan">
      <formula>$F$35</formula>
    </cfRule>
    <cfRule type="cellIs" dxfId="3" priority="42" stopIfTrue="1" operator="greaterThan">
      <formula>$F$35</formula>
    </cfRule>
  </conditionalFormatting>
  <conditionalFormatting sqref="E15:E17">
    <cfRule type="cellIs" dxfId="2" priority="43" stopIfTrue="1" operator="lessThan">
      <formula>0</formula>
    </cfRule>
  </conditionalFormatting>
  <conditionalFormatting sqref="E5:E9 E19:E25 E27:E29 E35 E11:E14">
    <cfRule type="cellIs" dxfId="3" priority="44" stopIfTrue="1" operator="greaterThan">
      <formula>0</formula>
    </cfRule>
  </conditionalFormatting>
  <pageMargins left="0.75" right="0.75" top="1" bottom="1" header="0.509027777777778" footer="0.509027777777778"/>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S71"/>
  <sheetViews>
    <sheetView zoomScale="90" zoomScaleNormal="90" workbookViewId="0">
      <selection activeCell="F8" sqref="F8:G8"/>
    </sheetView>
  </sheetViews>
  <sheetFormatPr defaultColWidth="9" defaultRowHeight="17.25"/>
  <cols>
    <col min="1" max="1" width="16.125" style="847" customWidth="1"/>
    <col min="2" max="2" width="16.625" style="847" customWidth="1"/>
    <col min="3" max="3" width="16.375" style="847" customWidth="1"/>
    <col min="4" max="4" width="14.625" style="847" customWidth="1"/>
    <col min="5" max="5" width="17.875" style="847" customWidth="1"/>
    <col min="6" max="7" width="18.625" style="847" customWidth="1"/>
    <col min="8" max="9" width="9" style="847" customWidth="1"/>
    <col min="10" max="10" width="13.125" style="847" customWidth="1"/>
    <col min="11" max="17" width="9" style="847" customWidth="1"/>
    <col min="18" max="18" width="14.5" style="847" hidden="1" customWidth="1"/>
    <col min="19" max="19" width="9" style="847" hidden="1" customWidth="1"/>
    <col min="20" max="16384" width="9" style="847"/>
  </cols>
  <sheetData>
    <row r="1" s="845" customFormat="1" ht="30" customHeight="1" spans="1:19">
      <c r="A1" s="848" t="s">
        <v>498</v>
      </c>
      <c r="B1" s="848"/>
      <c r="C1" s="848"/>
      <c r="D1" s="848"/>
      <c r="E1" s="848"/>
      <c r="F1" s="848"/>
      <c r="G1" s="848"/>
      <c r="R1" s="347" t="s">
        <v>499</v>
      </c>
      <c r="S1" s="881" t="s">
        <v>500</v>
      </c>
    </row>
    <row r="2" s="846" customFormat="1" ht="15" customHeight="1" spans="1:19">
      <c r="A2" s="849"/>
      <c r="B2" s="850"/>
      <c r="C2" s="850"/>
      <c r="D2" s="851" t="s">
        <v>408</v>
      </c>
      <c r="E2" s="851"/>
      <c r="F2" s="850"/>
      <c r="G2" s="852" t="s">
        <v>198</v>
      </c>
      <c r="R2" s="347" t="s">
        <v>501</v>
      </c>
      <c r="S2" s="881">
        <v>0.035</v>
      </c>
    </row>
    <row r="3" ht="20.1" customHeight="1" spans="1:19">
      <c r="A3" s="853" t="s">
        <v>502</v>
      </c>
      <c r="B3" s="853" t="s">
        <v>503</v>
      </c>
      <c r="C3" s="853" t="s">
        <v>504</v>
      </c>
      <c r="D3" s="853" t="s">
        <v>505</v>
      </c>
      <c r="E3" s="853"/>
      <c r="F3" s="853" t="s">
        <v>506</v>
      </c>
      <c r="G3" s="853" t="s">
        <v>507</v>
      </c>
      <c r="R3" s="347" t="s">
        <v>508</v>
      </c>
      <c r="S3" s="881">
        <v>0.045</v>
      </c>
    </row>
    <row r="4" ht="20.1" customHeight="1" spans="1:19">
      <c r="A4" s="854" t="s">
        <v>201</v>
      </c>
      <c r="B4" s="855">
        <f>资产负债表!B17</f>
        <v>616398</v>
      </c>
      <c r="C4" s="855">
        <f>资产负债表!C17</f>
        <v>673932</v>
      </c>
      <c r="D4" s="854" t="s">
        <v>509</v>
      </c>
      <c r="E4" s="854"/>
      <c r="F4" s="856">
        <f>B4/B10</f>
        <v>5.56300822179905</v>
      </c>
      <c r="G4" s="856">
        <f>C4/C10</f>
        <v>1.26283480678927</v>
      </c>
      <c r="R4" s="347" t="s">
        <v>510</v>
      </c>
      <c r="S4" s="881">
        <v>0.0225</v>
      </c>
    </row>
    <row r="5" ht="20.1" customHeight="1" spans="1:19">
      <c r="A5" s="854" t="s">
        <v>99</v>
      </c>
      <c r="B5" s="855">
        <f>资产负债表!B6</f>
        <v>4559</v>
      </c>
      <c r="C5" s="855">
        <f>资产负债表!C6</f>
        <v>7889</v>
      </c>
      <c r="D5" s="854" t="s">
        <v>511</v>
      </c>
      <c r="E5" s="854"/>
      <c r="F5" s="856">
        <f>(B4-B7)/B10</f>
        <v>5.50567222909127</v>
      </c>
      <c r="G5" s="856">
        <f>(C4-C7)/C10</f>
        <v>1.25034384802479</v>
      </c>
      <c r="R5" s="347" t="s">
        <v>512</v>
      </c>
      <c r="S5" s="881">
        <v>0.0291</v>
      </c>
    </row>
    <row r="6" ht="20.1" customHeight="1" spans="1:19">
      <c r="A6" s="854" t="s">
        <v>105</v>
      </c>
      <c r="B6" s="855">
        <f>资产负债表!B9</f>
        <v>522445</v>
      </c>
      <c r="C6" s="855">
        <f>资产负债表!C9</f>
        <v>555555</v>
      </c>
      <c r="D6" s="854" t="s">
        <v>513</v>
      </c>
      <c r="E6" s="854"/>
      <c r="F6" s="856">
        <f>(B5+B8)/B10</f>
        <v>0.162206799454888</v>
      </c>
      <c r="G6" s="856">
        <f>(C5+C8)/C10</f>
        <v>0.0417864357107254</v>
      </c>
      <c r="R6" s="347" t="s">
        <v>514</v>
      </c>
      <c r="S6" s="881">
        <v>0.05</v>
      </c>
    </row>
    <row r="7" ht="20.1" customHeight="1" spans="1:19">
      <c r="A7" s="854" t="s">
        <v>115</v>
      </c>
      <c r="B7" s="855">
        <f>资产负债表!B14</f>
        <v>6353</v>
      </c>
      <c r="C7" s="855">
        <f>资产负债表!C14</f>
        <v>6666</v>
      </c>
      <c r="D7" s="854" t="s">
        <v>515</v>
      </c>
      <c r="E7" s="854"/>
      <c r="F7" s="857">
        <f>(B11-C11)/C11</f>
        <v>0.875</v>
      </c>
      <c r="G7" s="857"/>
      <c r="R7" s="347" t="s">
        <v>516</v>
      </c>
      <c r="S7" s="881">
        <v>0.0498</v>
      </c>
    </row>
    <row r="8" ht="20.1" customHeight="1" spans="1:19">
      <c r="A8" s="854" t="s">
        <v>101</v>
      </c>
      <c r="B8" s="855">
        <f>资产负债表!B7</f>
        <v>13414</v>
      </c>
      <c r="C8" s="855">
        <f>资产负债表!C7</f>
        <v>14411</v>
      </c>
      <c r="D8" s="854" t="s">
        <v>517</v>
      </c>
      <c r="E8" s="854" t="s">
        <v>518</v>
      </c>
      <c r="F8" s="858">
        <f>2*B12/(B7+C7)</f>
        <v>8.53398878562102</v>
      </c>
      <c r="G8" s="858"/>
      <c r="R8" s="347" t="s">
        <v>519</v>
      </c>
      <c r="S8" s="881">
        <v>0.0335</v>
      </c>
    </row>
    <row r="9" ht="20.1" customHeight="1" spans="1:19">
      <c r="A9" s="859"/>
      <c r="B9" s="859"/>
      <c r="C9" s="859"/>
      <c r="D9" s="854"/>
      <c r="E9" s="854" t="s">
        <v>520</v>
      </c>
      <c r="F9" s="858">
        <f>365/F8</f>
        <v>42.7701522897465</v>
      </c>
      <c r="G9" s="858"/>
      <c r="R9" s="347" t="s">
        <v>521</v>
      </c>
      <c r="S9" s="881">
        <v>0.085</v>
      </c>
    </row>
    <row r="10" ht="20.1" customHeight="1" spans="1:19">
      <c r="A10" s="854" t="s">
        <v>200</v>
      </c>
      <c r="B10" s="855">
        <f>资产负债表!E18</f>
        <v>110803</v>
      </c>
      <c r="C10" s="855">
        <f>资产负债表!F18</f>
        <v>533666</v>
      </c>
      <c r="D10" s="854" t="s">
        <v>522</v>
      </c>
      <c r="E10" s="854" t="s">
        <v>523</v>
      </c>
      <c r="F10" s="858">
        <f>2*B11/(B6+C6)</f>
        <v>0.556586270871985</v>
      </c>
      <c r="G10" s="858"/>
      <c r="R10" s="347" t="s">
        <v>524</v>
      </c>
      <c r="S10" s="881">
        <v>0.125</v>
      </c>
    </row>
    <row r="11" ht="20.1" customHeight="1" spans="1:19">
      <c r="A11" s="854" t="s">
        <v>525</v>
      </c>
      <c r="B11" s="855">
        <f>利润表!B5</f>
        <v>300000</v>
      </c>
      <c r="C11" s="855">
        <f>利润表!C5</f>
        <v>160000</v>
      </c>
      <c r="D11" s="854"/>
      <c r="E11" s="854" t="s">
        <v>526</v>
      </c>
      <c r="F11" s="858">
        <f>365/F10</f>
        <v>655.783333333333</v>
      </c>
      <c r="G11" s="858"/>
      <c r="R11" s="347" t="s">
        <v>527</v>
      </c>
      <c r="S11" s="881">
        <v>0.035</v>
      </c>
    </row>
    <row r="12" ht="20.1" customHeight="1" spans="1:19">
      <c r="A12" s="854" t="s">
        <v>528</v>
      </c>
      <c r="B12" s="855">
        <f>利润表!B6</f>
        <v>55552</v>
      </c>
      <c r="C12" s="855">
        <f>利润表!C6</f>
        <v>34441</v>
      </c>
      <c r="D12" s="854" t="s">
        <v>529</v>
      </c>
      <c r="E12" s="854"/>
      <c r="F12" s="856">
        <f>(B11-B12)/B11</f>
        <v>0.814826666666667</v>
      </c>
      <c r="G12" s="856">
        <f>(C11-C12)/C11</f>
        <v>0.78474375</v>
      </c>
      <c r="R12" s="347" t="s">
        <v>530</v>
      </c>
      <c r="S12" s="881">
        <v>0.055</v>
      </c>
    </row>
    <row r="13" ht="20.1" customHeight="1" spans="1:19">
      <c r="A13" s="854" t="s">
        <v>531</v>
      </c>
      <c r="B13" s="855">
        <f>资产负债表!B37</f>
        <v>734929</v>
      </c>
      <c r="C13" s="855">
        <f>资产负债表!C37</f>
        <v>1350198</v>
      </c>
      <c r="D13" s="854" t="s">
        <v>532</v>
      </c>
      <c r="E13" s="854"/>
      <c r="F13" s="857">
        <f>(B12-C12)/C12</f>
        <v>0.612961296129613</v>
      </c>
      <c r="G13" s="857"/>
      <c r="R13" s="347" t="s">
        <v>533</v>
      </c>
      <c r="S13" s="881">
        <v>0.022</v>
      </c>
    </row>
    <row r="14" ht="20.1" customHeight="1" spans="1:19">
      <c r="A14" s="854" t="s">
        <v>534</v>
      </c>
      <c r="B14" s="855">
        <f>资产负债表!E28</f>
        <v>110803</v>
      </c>
      <c r="C14" s="855">
        <f>资产负债表!F28</f>
        <v>533666</v>
      </c>
      <c r="D14" s="854" t="s">
        <v>535</v>
      </c>
      <c r="E14" s="854"/>
      <c r="F14" s="856">
        <f>(B11-B12)/B12</f>
        <v>4.40034562211982</v>
      </c>
      <c r="G14" s="856">
        <f>(C11-C12)/C12</f>
        <v>3.64562585290787</v>
      </c>
      <c r="R14" s="347" t="s">
        <v>536</v>
      </c>
      <c r="S14" s="881">
        <v>0.037</v>
      </c>
    </row>
    <row r="15" ht="20.1" customHeight="1" spans="1:19">
      <c r="A15" s="854" t="s">
        <v>537</v>
      </c>
      <c r="B15" s="855">
        <f>利润表!B21</f>
        <v>158893</v>
      </c>
      <c r="C15" s="855">
        <f>利润表!C21</f>
        <v>57080</v>
      </c>
      <c r="D15" s="854" t="s">
        <v>538</v>
      </c>
      <c r="E15" s="854"/>
      <c r="F15" s="856">
        <f>B14/B13</f>
        <v>0.150766944834127</v>
      </c>
      <c r="G15" s="856">
        <f>C14/C13</f>
        <v>0.395250178122024</v>
      </c>
      <c r="R15" s="347" t="s">
        <v>539</v>
      </c>
      <c r="S15" s="881">
        <v>0.0265</v>
      </c>
    </row>
    <row r="16" ht="20.1" customHeight="1" spans="1:19">
      <c r="A16" s="854" t="s">
        <v>540</v>
      </c>
      <c r="B16" s="855">
        <f>表外数据录入!C29</f>
        <v>8500</v>
      </c>
      <c r="C16" s="860"/>
      <c r="D16" s="854" t="s">
        <v>541</v>
      </c>
      <c r="E16" s="854"/>
      <c r="F16" s="856">
        <f>B15/B12</f>
        <v>2.86025705645161</v>
      </c>
      <c r="G16" s="856">
        <f>C15/C12</f>
        <v>1.65732702302488</v>
      </c>
      <c r="R16" s="347" t="s">
        <v>542</v>
      </c>
      <c r="S16" s="881">
        <v>0.035</v>
      </c>
    </row>
    <row r="17" ht="20.1" customHeight="1" spans="1:19">
      <c r="A17" s="854" t="s">
        <v>543</v>
      </c>
      <c r="B17" s="855">
        <f>利润表!B21</f>
        <v>158893</v>
      </c>
      <c r="C17" s="861"/>
      <c r="D17" s="854" t="s">
        <v>544</v>
      </c>
      <c r="E17" s="854"/>
      <c r="F17" s="856">
        <f>B12/B11</f>
        <v>0.185173333333333</v>
      </c>
      <c r="G17" s="856">
        <f>C12/C11</f>
        <v>0.21525625</v>
      </c>
      <c r="R17" s="347" t="s">
        <v>545</v>
      </c>
      <c r="S17" s="881">
        <v>0.037</v>
      </c>
    </row>
    <row r="18" ht="19.5" customHeight="1" spans="1:19">
      <c r="A18" s="854" t="s">
        <v>546</v>
      </c>
      <c r="B18" s="861">
        <v>20</v>
      </c>
      <c r="C18" s="862" t="str">
        <f ca="1">"平均税负率"&amp;INDIRECT("s"&amp;B18+1)*100&amp;"%"</f>
        <v>平均税负率3.5%</v>
      </c>
      <c r="D18" s="854" t="s">
        <v>547</v>
      </c>
      <c r="E18" s="854"/>
      <c r="F18" s="856">
        <f>B16/B11*100%</f>
        <v>0.0283333333333333</v>
      </c>
      <c r="G18" s="863"/>
      <c r="R18" s="347" t="s">
        <v>548</v>
      </c>
      <c r="S18" s="881">
        <v>0.0495</v>
      </c>
    </row>
    <row r="19" ht="19.5" customHeight="1" spans="1:19">
      <c r="A19" s="854" t="s">
        <v>549</v>
      </c>
      <c r="B19" s="861">
        <v>1</v>
      </c>
      <c r="C19" s="862" t="str">
        <f ca="1">"平均税负率"&amp;INDIRECT("s"&amp;B19+22)*100&amp;"%"</f>
        <v>平均税负率2%</v>
      </c>
      <c r="D19" s="854" t="s">
        <v>550</v>
      </c>
      <c r="E19" s="854"/>
      <c r="F19" s="856">
        <f>B17/B11*100%</f>
        <v>0.529643333333333</v>
      </c>
      <c r="G19" s="863"/>
      <c r="R19" s="347" t="s">
        <v>551</v>
      </c>
      <c r="S19" s="881">
        <v>0.009</v>
      </c>
    </row>
    <row r="20" ht="4.5" customHeight="1" spans="1:19">
      <c r="A20" s="864"/>
      <c r="B20" s="865"/>
      <c r="C20" s="866"/>
      <c r="D20" s="864"/>
      <c r="E20" s="864"/>
      <c r="F20" s="867"/>
      <c r="G20" s="867"/>
      <c r="R20" s="347" t="s">
        <v>552</v>
      </c>
      <c r="S20" s="881">
        <v>0.025</v>
      </c>
    </row>
    <row r="21" ht="20.1" customHeight="1" spans="1:19">
      <c r="A21" s="868" t="s">
        <v>553</v>
      </c>
      <c r="B21" s="869">
        <f ca="1">IF(B11=0,0,(F18-INDIRECT("s"&amp;B18+1))/INDIRECT("s"&amp;B18+1))</f>
        <v>-0.190476190476191</v>
      </c>
      <c r="C21" s="870" t="str">
        <f ca="1">IF(B21&lt;-0.3,"异常","正常")</f>
        <v>正常</v>
      </c>
      <c r="D21" s="871"/>
      <c r="E21" s="864"/>
      <c r="F21" s="867"/>
      <c r="G21" s="872"/>
      <c r="R21" s="347" t="s">
        <v>554</v>
      </c>
      <c r="S21" s="881">
        <v>0.035</v>
      </c>
    </row>
    <row r="22" ht="20.1" customHeight="1" spans="1:19">
      <c r="A22" s="873" t="s">
        <v>555</v>
      </c>
      <c r="B22" s="874">
        <f ca="1">IF(B12=0,0,(F19-INDIRECT("s"&amp;B19+22))/INDIRECT("s"&amp;B19+22))</f>
        <v>25.4821666666667</v>
      </c>
      <c r="C22" s="875" t="str">
        <f ca="1">IF(B22&lt;-0.3,"异常","正常")</f>
        <v>正常</v>
      </c>
      <c r="D22" s="876"/>
      <c r="E22" s="876"/>
      <c r="F22" s="877"/>
      <c r="G22" s="878"/>
      <c r="R22" s="347" t="s">
        <v>499</v>
      </c>
      <c r="S22" s="881" t="s">
        <v>262</v>
      </c>
    </row>
    <row r="23" ht="20.1" customHeight="1" spans="1:19">
      <c r="A23" s="879" t="s">
        <v>556</v>
      </c>
      <c r="B23" s="879"/>
      <c r="C23" s="879"/>
      <c r="D23" s="879"/>
      <c r="E23" s="879"/>
      <c r="F23" s="879"/>
      <c r="G23" s="879"/>
      <c r="R23" s="881" t="s">
        <v>557</v>
      </c>
      <c r="S23" s="881">
        <v>0.02</v>
      </c>
    </row>
    <row r="24" ht="20.1" customHeight="1" spans="1:19">
      <c r="A24" s="880" t="s">
        <v>558</v>
      </c>
      <c r="B24" s="880"/>
      <c r="C24" s="880"/>
      <c r="D24" s="880"/>
      <c r="E24" s="880"/>
      <c r="F24" s="880"/>
      <c r="G24" s="880"/>
      <c r="H24" s="847" t="s">
        <v>559</v>
      </c>
      <c r="R24" s="881" t="s">
        <v>560</v>
      </c>
      <c r="S24" s="881">
        <v>0.02</v>
      </c>
    </row>
    <row r="25" ht="20.1" customHeight="1" spans="1:19">
      <c r="A25" s="880"/>
      <c r="B25" s="880"/>
      <c r="C25" s="880"/>
      <c r="D25" s="880"/>
      <c r="E25" s="880"/>
      <c r="F25" s="880"/>
      <c r="G25" s="880"/>
      <c r="R25" s="881" t="s">
        <v>548</v>
      </c>
      <c r="S25" s="881">
        <v>0.015</v>
      </c>
    </row>
    <row r="26" spans="18:19">
      <c r="R26" s="881" t="s">
        <v>561</v>
      </c>
      <c r="S26" s="881">
        <v>0.02</v>
      </c>
    </row>
    <row r="27" spans="18:19">
      <c r="R27" s="881" t="s">
        <v>562</v>
      </c>
      <c r="S27" s="881">
        <v>0.04</v>
      </c>
    </row>
    <row r="28" spans="18:19">
      <c r="R28" s="881" t="s">
        <v>563</v>
      </c>
      <c r="S28" s="881">
        <v>0.01</v>
      </c>
    </row>
    <row r="29" spans="18:19">
      <c r="R29" s="881" t="s">
        <v>564</v>
      </c>
      <c r="S29" s="881">
        <v>0.01</v>
      </c>
    </row>
    <row r="30" spans="18:19">
      <c r="R30" s="881" t="s">
        <v>565</v>
      </c>
      <c r="S30" s="881">
        <v>0.01</v>
      </c>
    </row>
    <row r="31" spans="18:19">
      <c r="R31" s="881" t="s">
        <v>530</v>
      </c>
      <c r="S31" s="881">
        <v>0.01</v>
      </c>
    </row>
    <row r="32" spans="18:19">
      <c r="R32" s="881" t="s">
        <v>566</v>
      </c>
      <c r="S32" s="881">
        <v>0.015</v>
      </c>
    </row>
    <row r="33" spans="18:19">
      <c r="R33" s="881" t="s">
        <v>567</v>
      </c>
      <c r="S33" s="881">
        <v>0.015</v>
      </c>
    </row>
    <row r="34" spans="18:19">
      <c r="R34" s="347" t="s">
        <v>568</v>
      </c>
      <c r="S34" s="881">
        <v>0.04</v>
      </c>
    </row>
    <row r="35" spans="18:19">
      <c r="R35" s="347" t="s">
        <v>569</v>
      </c>
      <c r="S35" s="881">
        <v>0.02</v>
      </c>
    </row>
    <row r="36" spans="18:19">
      <c r="R36" s="347" t="s">
        <v>570</v>
      </c>
      <c r="S36" s="881">
        <v>0.02</v>
      </c>
    </row>
    <row r="37" spans="18:19">
      <c r="R37" s="347" t="s">
        <v>571</v>
      </c>
      <c r="S37" s="881">
        <v>0.015</v>
      </c>
    </row>
    <row r="38" spans="18:19">
      <c r="R38" s="347" t="s">
        <v>572</v>
      </c>
      <c r="S38" s="881">
        <v>0.015</v>
      </c>
    </row>
    <row r="39" spans="18:19">
      <c r="R39" s="347" t="s">
        <v>573</v>
      </c>
      <c r="S39" s="881">
        <v>0.03</v>
      </c>
    </row>
    <row r="40" spans="18:19">
      <c r="R40" s="347" t="s">
        <v>574</v>
      </c>
      <c r="S40" s="881">
        <v>0.02</v>
      </c>
    </row>
    <row r="41" spans="18:19">
      <c r="R41" s="347" t="s">
        <v>575</v>
      </c>
      <c r="S41" s="881">
        <v>0.02</v>
      </c>
    </row>
    <row r="42" spans="18:19">
      <c r="R42" s="347" t="s">
        <v>576</v>
      </c>
      <c r="S42" s="881">
        <v>0.03</v>
      </c>
    </row>
    <row r="43" spans="18:19">
      <c r="R43" s="347" t="s">
        <v>577</v>
      </c>
      <c r="S43" s="881">
        <v>0.06</v>
      </c>
    </row>
    <row r="44" spans="18:19">
      <c r="R44" s="347" t="s">
        <v>578</v>
      </c>
      <c r="S44" s="881">
        <v>0.012</v>
      </c>
    </row>
    <row r="45" spans="18:19">
      <c r="R45" s="347" t="s">
        <v>579</v>
      </c>
      <c r="S45" s="881">
        <v>0.015</v>
      </c>
    </row>
    <row r="46" spans="18:19">
      <c r="R46" s="347" t="s">
        <v>580</v>
      </c>
      <c r="S46" s="881">
        <v>0.01</v>
      </c>
    </row>
    <row r="47" spans="18:19">
      <c r="R47" s="347" t="s">
        <v>581</v>
      </c>
      <c r="S47" s="881">
        <v>0.011</v>
      </c>
    </row>
    <row r="48" spans="18:19">
      <c r="R48" s="347" t="s">
        <v>582</v>
      </c>
      <c r="S48" s="881">
        <v>0.01</v>
      </c>
    </row>
    <row r="49" spans="18:19">
      <c r="R49" s="347" t="s">
        <v>583</v>
      </c>
      <c r="S49" s="881">
        <v>0.01</v>
      </c>
    </row>
    <row r="50" spans="18:19">
      <c r="R50" s="347" t="s">
        <v>584</v>
      </c>
      <c r="S50" s="881">
        <v>0.01</v>
      </c>
    </row>
    <row r="51" spans="18:19">
      <c r="R51" s="347" t="s">
        <v>585</v>
      </c>
      <c r="S51" s="881">
        <v>0.01</v>
      </c>
    </row>
    <row r="52" spans="18:19">
      <c r="R52" s="347" t="s">
        <v>586</v>
      </c>
      <c r="S52" s="881">
        <v>0.04</v>
      </c>
    </row>
    <row r="53" spans="18:19">
      <c r="R53" s="347" t="s">
        <v>587</v>
      </c>
      <c r="S53" s="881">
        <v>0.015</v>
      </c>
    </row>
    <row r="54" spans="18:19">
      <c r="R54" s="347" t="s">
        <v>588</v>
      </c>
      <c r="S54" s="881">
        <v>0.015</v>
      </c>
    </row>
    <row r="55" spans="18:19">
      <c r="R55" s="347" t="s">
        <v>589</v>
      </c>
      <c r="S55" s="881">
        <v>0.03</v>
      </c>
    </row>
    <row r="56" spans="18:19">
      <c r="R56" s="347" t="s">
        <v>590</v>
      </c>
      <c r="S56" s="881">
        <v>0.01</v>
      </c>
    </row>
    <row r="57" spans="18:19">
      <c r="R57" s="347" t="s">
        <v>591</v>
      </c>
      <c r="S57" s="881">
        <v>0.025</v>
      </c>
    </row>
    <row r="58" spans="18:19">
      <c r="R58" s="347" t="s">
        <v>592</v>
      </c>
      <c r="S58" s="881">
        <v>0.01</v>
      </c>
    </row>
    <row r="59" spans="18:19">
      <c r="R59" s="347" t="s">
        <v>527</v>
      </c>
      <c r="S59" s="881">
        <v>0.03</v>
      </c>
    </row>
    <row r="60" spans="18:19">
      <c r="R60" s="347" t="s">
        <v>593</v>
      </c>
      <c r="S60" s="881">
        <v>0.02</v>
      </c>
    </row>
    <row r="61" spans="18:19">
      <c r="R61" s="347" t="s">
        <v>594</v>
      </c>
      <c r="S61" s="881">
        <v>0.02</v>
      </c>
    </row>
    <row r="62" spans="18:19">
      <c r="R62" s="347" t="s">
        <v>595</v>
      </c>
      <c r="S62" s="881">
        <v>0.012</v>
      </c>
    </row>
    <row r="63" spans="18:19">
      <c r="R63" s="347" t="s">
        <v>521</v>
      </c>
      <c r="S63" s="881">
        <v>0.025</v>
      </c>
    </row>
    <row r="64" spans="18:19">
      <c r="R64" s="347" t="s">
        <v>596</v>
      </c>
      <c r="S64" s="881">
        <v>0.02</v>
      </c>
    </row>
    <row r="65" spans="18:19">
      <c r="R65" s="347" t="s">
        <v>597</v>
      </c>
      <c r="S65" s="881">
        <v>0.01</v>
      </c>
    </row>
    <row r="66" spans="18:19">
      <c r="R66" s="347" t="s">
        <v>598</v>
      </c>
      <c r="S66" s="881">
        <v>0.06</v>
      </c>
    </row>
    <row r="67" spans="18:19">
      <c r="R67" s="347" t="s">
        <v>599</v>
      </c>
      <c r="S67" s="881">
        <v>0.01</v>
      </c>
    </row>
    <row r="68" spans="18:19">
      <c r="R68" s="347" t="s">
        <v>600</v>
      </c>
      <c r="S68" s="881">
        <v>0.02</v>
      </c>
    </row>
    <row r="69" spans="18:19">
      <c r="R69" s="347" t="s">
        <v>601</v>
      </c>
      <c r="S69" s="881">
        <v>0.025</v>
      </c>
    </row>
    <row r="70" spans="18:19">
      <c r="R70" s="347" t="s">
        <v>602</v>
      </c>
      <c r="S70" s="881">
        <v>0.02</v>
      </c>
    </row>
    <row r="71" spans="18:19">
      <c r="R71" s="347" t="s">
        <v>603</v>
      </c>
      <c r="S71" s="881">
        <v>0.015</v>
      </c>
    </row>
  </sheetData>
  <mergeCells count="25">
    <mergeCell ref="A1:G1"/>
    <mergeCell ref="D2:E2"/>
    <mergeCell ref="D3:E3"/>
    <mergeCell ref="D4:E4"/>
    <mergeCell ref="D5:E5"/>
    <mergeCell ref="D6:E6"/>
    <mergeCell ref="D7:E7"/>
    <mergeCell ref="F7:G7"/>
    <mergeCell ref="F8:G8"/>
    <mergeCell ref="F9:G9"/>
    <mergeCell ref="F10:G10"/>
    <mergeCell ref="F11:G11"/>
    <mergeCell ref="D12:E12"/>
    <mergeCell ref="D13:E13"/>
    <mergeCell ref="F13:G13"/>
    <mergeCell ref="D14:E14"/>
    <mergeCell ref="D15:E15"/>
    <mergeCell ref="D16:E16"/>
    <mergeCell ref="D17:E17"/>
    <mergeCell ref="D18:E18"/>
    <mergeCell ref="D19:E19"/>
    <mergeCell ref="A23:G23"/>
    <mergeCell ref="A24:G24"/>
    <mergeCell ref="D8:D9"/>
    <mergeCell ref="D10:D11"/>
  </mergeCells>
  <conditionalFormatting sqref="C21:C22">
    <cfRule type="expression" dxfId="4" priority="1" stopIfTrue="1">
      <formula>NOT(ISERROR(SEARCH("异常",C21)))</formula>
    </cfRule>
    <cfRule type="expression" dxfId="5" priority="2" stopIfTrue="1">
      <formula>NOT(ISERROR(SEARCH("正常",C21)))</formula>
    </cfRule>
  </conditionalFormatting>
  <conditionalFormatting sqref="F7:G7 F16:G16">
    <cfRule type="cellIs" dxfId="6" priority="3" stopIfTrue="1" operator="greaterThanOrEqual">
      <formula>0.5</formula>
    </cfRule>
    <cfRule type="cellIs" dxfId="6" priority="4" stopIfTrue="1" operator="lessThanOrEqual">
      <formula>-0.5</formula>
    </cfRule>
  </conditionalFormatting>
  <conditionalFormatting sqref="F15:G15 F17:G17">
    <cfRule type="cellIs" dxfId="6" priority="5" stopIfTrue="1" operator="greaterThan">
      <formula>1</formula>
    </cfRule>
  </conditionalFormatting>
  <conditionalFormatting sqref="F18:G22">
    <cfRule type="cellIs" dxfId="6" priority="6" stopIfTrue="1" operator="lessThan">
      <formula>0.0218</formula>
    </cfRule>
  </conditionalFormatting>
  <printOptions horizontalCentered="1"/>
  <pageMargins left="0.75" right="0.75" top="0.588888888888889" bottom="0.388888888888889" header="0.509027777777778" footer="0.509027777777778"/>
  <pageSetup paperSize="256" orientation="landscape"/>
  <headerFooter alignWithMargins="0" scaleWithDoc="0"/>
  <drawing r:id="rId1"/>
  <legacyDrawing r:id="rId2"/>
  <mc:AlternateContent xmlns:mc="http://schemas.openxmlformats.org/markup-compatibility/2006">
    <mc:Choice Requires="x14">
      <controls>
        <mc:AlternateContent xmlns:mc="http://schemas.openxmlformats.org/markup-compatibility/2006">
          <mc:Choice Requires="x14">
            <control shapeId="198657" name="Drop Down 1" r:id="rId3">
              <controlPr defaultSize="0">
                <anchor moveWithCells="1">
                  <from>
                    <xdr:col>0</xdr:col>
                    <xdr:colOff>951230</xdr:colOff>
                    <xdr:row>18</xdr:row>
                    <xdr:rowOff>0</xdr:rowOff>
                  </from>
                  <to>
                    <xdr:col>1</xdr:col>
                    <xdr:colOff>973455</xdr:colOff>
                    <xdr:row>18</xdr:row>
                    <xdr:rowOff>185420</xdr:rowOff>
                  </to>
                </anchor>
              </controlPr>
            </control>
          </mc:Choice>
        </mc:AlternateContent>
        <mc:AlternateContent xmlns:mc="http://schemas.openxmlformats.org/markup-compatibility/2006">
          <mc:Choice Requires="x14">
            <control shapeId="198658" name="Drop Down 2" r:id="rId4">
              <controlPr defaultSize="0">
                <anchor moveWithCells="1">
                  <from>
                    <xdr:col>1</xdr:col>
                    <xdr:colOff>0</xdr:colOff>
                    <xdr:row>16</xdr:row>
                    <xdr:rowOff>185420</xdr:rowOff>
                  </from>
                  <to>
                    <xdr:col>2</xdr:col>
                    <xdr:colOff>0</xdr:colOff>
                    <xdr:row>18</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pageSetUpPr fitToPage="1"/>
  </sheetPr>
  <dimension ref="A1:IV31"/>
  <sheetViews>
    <sheetView showGridLines="0" zoomScale="90" zoomScaleNormal="90" topLeftCell="A5" workbookViewId="0">
      <selection activeCell="Q29" sqref="Q29:R29"/>
    </sheetView>
  </sheetViews>
  <sheetFormatPr defaultColWidth="8" defaultRowHeight="16.5"/>
  <cols>
    <col min="1" max="1" width="4.625" style="804" customWidth="1"/>
    <col min="2" max="2" width="4.5" style="804" customWidth="1"/>
    <col min="3" max="3" width="6.25" style="804" customWidth="1"/>
    <col min="4" max="4" width="2.375" style="804" customWidth="1"/>
    <col min="5" max="5" width="4.5" style="804" customWidth="1"/>
    <col min="6" max="6" width="7" style="804" customWidth="1"/>
    <col min="7" max="7" width="2.375" style="804" customWidth="1"/>
    <col min="8" max="8" width="6.625" style="804" customWidth="1"/>
    <col min="9" max="9" width="3.25" style="804" customWidth="1"/>
    <col min="10" max="10" width="2.375" style="804" customWidth="1"/>
    <col min="11" max="11" width="4.25" style="804" customWidth="1"/>
    <col min="12" max="12" width="6.125" style="804" customWidth="1"/>
    <col min="13" max="13" width="2.375" style="804" customWidth="1"/>
    <col min="14" max="14" width="6" style="804" customWidth="1"/>
    <col min="15" max="15" width="5.125" style="804" customWidth="1"/>
    <col min="16" max="16" width="2.375" style="804" customWidth="1"/>
    <col min="17" max="17" width="3.625" style="804" customWidth="1"/>
    <col min="18" max="18" width="7.25" style="804" customWidth="1"/>
    <col min="19" max="19" width="2.125" style="804" customWidth="1"/>
    <col min="20" max="20" width="3.375" style="804" customWidth="1"/>
    <col min="21" max="21" width="7.25" style="804" customWidth="1"/>
    <col min="22" max="22" width="2.375" style="804" customWidth="1"/>
    <col min="23" max="23" width="3.5" style="804" customWidth="1"/>
    <col min="24" max="24" width="8.75" style="804" customWidth="1"/>
    <col min="25" max="25" width="2.75" style="804" customWidth="1"/>
    <col min="26" max="26" width="4.625" style="804" customWidth="1"/>
    <col min="27" max="27" width="6.125" style="804" customWidth="1"/>
    <col min="28" max="16384" width="8" style="804"/>
  </cols>
  <sheetData>
    <row r="1" ht="29.25" spans="1:27">
      <c r="A1" s="843" t="s">
        <v>604</v>
      </c>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row>
    <row r="2" s="802" customFormat="1" ht="14.1" customHeight="1" spans="1:25">
      <c r="A2" s="806"/>
      <c r="N2" s="824" t="s">
        <v>408</v>
      </c>
      <c r="O2" s="824"/>
      <c r="P2" s="824"/>
      <c r="Q2" s="824"/>
      <c r="R2" s="824"/>
      <c r="U2" s="830"/>
      <c r="V2" s="830"/>
      <c r="W2" s="830"/>
      <c r="Y2" s="802" t="s">
        <v>605</v>
      </c>
    </row>
    <row r="3" ht="21" customHeight="1"/>
    <row r="4" ht="14.25" customHeight="1" spans="14:25">
      <c r="N4" s="825" t="s">
        <v>606</v>
      </c>
      <c r="O4" s="826"/>
      <c r="P4" s="821"/>
      <c r="Q4" s="831" t="s">
        <v>607</v>
      </c>
      <c r="R4" s="832"/>
      <c r="S4" s="832"/>
      <c r="T4" s="833"/>
      <c r="U4" s="807"/>
      <c r="V4" s="825" t="s">
        <v>608</v>
      </c>
      <c r="W4" s="834"/>
      <c r="X4" s="834"/>
      <c r="Y4" s="826"/>
    </row>
    <row r="5" s="803" customFormat="1" spans="14:25">
      <c r="N5" s="827">
        <f>K9*T9</f>
        <v>0.254584811400262</v>
      </c>
      <c r="O5" s="828"/>
      <c r="Q5" s="835"/>
      <c r="R5" s="836"/>
      <c r="S5" s="836"/>
      <c r="T5" s="837"/>
      <c r="V5" s="827">
        <f>N5*(1-Q5)</f>
        <v>0.254584811400262</v>
      </c>
      <c r="W5" s="838"/>
      <c r="X5" s="838"/>
      <c r="Y5" s="828"/>
    </row>
    <row r="6" spans="12:14">
      <c r="L6" s="807"/>
      <c r="M6" s="807"/>
      <c r="N6" s="814"/>
    </row>
    <row r="7" spans="12:20">
      <c r="L7" s="808"/>
      <c r="O7" s="816"/>
      <c r="P7" s="816"/>
      <c r="Q7" s="816"/>
      <c r="R7" s="816"/>
      <c r="S7" s="816"/>
      <c r="T7" s="817"/>
    </row>
    <row r="8" spans="11:21">
      <c r="K8" s="809" t="s">
        <v>609</v>
      </c>
      <c r="L8" s="810"/>
      <c r="T8" s="809" t="s">
        <v>610</v>
      </c>
      <c r="U8" s="810"/>
    </row>
    <row r="9" s="803" customFormat="1" spans="11:21">
      <c r="K9" s="811">
        <f>E13*N13</f>
        <v>0.216201837184272</v>
      </c>
      <c r="L9" s="812"/>
      <c r="T9" s="839">
        <f>Q13/(Q13-W13)</f>
        <v>1.17753306223423</v>
      </c>
      <c r="U9" s="840"/>
    </row>
    <row r="10" spans="6:20">
      <c r="F10" s="807"/>
      <c r="G10" s="807"/>
      <c r="H10" s="807"/>
      <c r="I10" s="807"/>
      <c r="J10" s="807"/>
      <c r="K10" s="813"/>
      <c r="R10" s="807"/>
      <c r="S10" s="807"/>
      <c r="T10" s="813"/>
    </row>
    <row r="11" spans="6:23">
      <c r="F11" s="808"/>
      <c r="L11" s="816"/>
      <c r="M11" s="816"/>
      <c r="N11" s="817"/>
      <c r="R11" s="808"/>
      <c r="U11" s="816"/>
      <c r="V11" s="816"/>
      <c r="W11" s="817"/>
    </row>
    <row r="12" spans="5:24">
      <c r="E12" s="809" t="s">
        <v>611</v>
      </c>
      <c r="F12" s="810"/>
      <c r="N12" s="809" t="s">
        <v>612</v>
      </c>
      <c r="O12" s="810"/>
      <c r="Q12" s="809" t="s">
        <v>613</v>
      </c>
      <c r="R12" s="810"/>
      <c r="W12" s="809" t="s">
        <v>204</v>
      </c>
      <c r="X12" s="810"/>
    </row>
    <row r="13" s="803" customFormat="1" spans="5:24">
      <c r="E13" s="811">
        <f>B17/H17</f>
        <v>0.529643333333333</v>
      </c>
      <c r="F13" s="812"/>
      <c r="N13" s="839">
        <f>K17/Q17</f>
        <v>0.408202697131287</v>
      </c>
      <c r="O13" s="840"/>
      <c r="Q13" s="818">
        <f>资产负债表!B37/10000</f>
        <v>73.4929</v>
      </c>
      <c r="R13" s="829"/>
      <c r="W13" s="818">
        <f>资产负债表!E28/10000</f>
        <v>11.0803</v>
      </c>
      <c r="X13" s="829"/>
    </row>
    <row r="14" spans="3:24">
      <c r="C14" s="807"/>
      <c r="D14" s="807"/>
      <c r="E14" s="813"/>
      <c r="O14" s="821"/>
      <c r="P14" s="807"/>
      <c r="Q14" s="807"/>
      <c r="X14" s="815"/>
    </row>
    <row r="15" spans="3:24">
      <c r="C15" s="808"/>
      <c r="E15" s="814"/>
      <c r="F15" s="815"/>
      <c r="G15" s="816"/>
      <c r="H15" s="817"/>
      <c r="L15" s="815"/>
      <c r="M15" s="816"/>
      <c r="N15" s="816"/>
      <c r="Q15" s="814"/>
      <c r="X15" s="841"/>
    </row>
    <row r="16" spans="2:27">
      <c r="B16" s="809" t="s">
        <v>537</v>
      </c>
      <c r="C16" s="810"/>
      <c r="E16" s="809" t="s">
        <v>614</v>
      </c>
      <c r="F16" s="810"/>
      <c r="H16" s="809" t="s">
        <v>525</v>
      </c>
      <c r="I16" s="810"/>
      <c r="K16" s="809" t="s">
        <v>525</v>
      </c>
      <c r="L16" s="810"/>
      <c r="Q16" s="809" t="s">
        <v>613</v>
      </c>
      <c r="R16" s="810"/>
      <c r="X16" s="821"/>
      <c r="Y16" s="813"/>
      <c r="Z16" s="809" t="s">
        <v>202</v>
      </c>
      <c r="AA16" s="810"/>
    </row>
    <row r="17" s="803" customFormat="1" spans="2:27">
      <c r="B17" s="818">
        <f>利润表!B21/10000</f>
        <v>15.8893</v>
      </c>
      <c r="C17" s="829"/>
      <c r="E17" s="818">
        <f>B21+H21+B25+H25+B29</f>
        <v>14.1107</v>
      </c>
      <c r="F17" s="829"/>
      <c r="H17" s="818">
        <f>利润表!B5/10000</f>
        <v>30</v>
      </c>
      <c r="I17" s="829"/>
      <c r="K17" s="818">
        <f>H17</f>
        <v>30</v>
      </c>
      <c r="L17" s="829"/>
      <c r="Q17" s="818">
        <f>Q13</f>
        <v>73.4929</v>
      </c>
      <c r="R17" s="829"/>
      <c r="X17" s="842"/>
      <c r="Z17" s="818">
        <f>资产负债表!E27/10000</f>
        <v>0</v>
      </c>
      <c r="AA17" s="829"/>
    </row>
    <row r="18" spans="5:24">
      <c r="E18" s="817"/>
      <c r="O18" s="807"/>
      <c r="P18" s="807"/>
      <c r="Q18" s="813"/>
      <c r="X18" s="841"/>
    </row>
    <row r="19" ht="14.25" customHeight="1" spans="5:24">
      <c r="E19" s="819"/>
      <c r="H19" s="844" t="s">
        <v>615</v>
      </c>
      <c r="I19" s="844"/>
      <c r="O19" s="808"/>
      <c r="R19" s="816"/>
      <c r="S19" s="816"/>
      <c r="T19" s="817"/>
      <c r="X19" s="841"/>
    </row>
    <row r="20" spans="2:27">
      <c r="B20" s="809" t="s">
        <v>528</v>
      </c>
      <c r="C20" s="810"/>
      <c r="D20" s="821"/>
      <c r="E20" s="813"/>
      <c r="F20" s="807"/>
      <c r="G20" s="807"/>
      <c r="H20" s="844"/>
      <c r="I20" s="844"/>
      <c r="N20" s="809" t="s">
        <v>203</v>
      </c>
      <c r="O20" s="810"/>
      <c r="T20" s="809" t="s">
        <v>201</v>
      </c>
      <c r="U20" s="810"/>
      <c r="X20" s="821"/>
      <c r="Y20" s="813"/>
      <c r="Z20" s="809" t="s">
        <v>200</v>
      </c>
      <c r="AA20" s="810"/>
    </row>
    <row r="21" s="803" customFormat="1" spans="2:27">
      <c r="B21" s="818">
        <f>利润表!B6/10000</f>
        <v>5.5552</v>
      </c>
      <c r="C21" s="829"/>
      <c r="E21" s="823"/>
      <c r="H21" s="818">
        <f>(利润表!B7+利润表!B8+利润表!B9+利润表!B10)/10000</f>
        <v>8.4889</v>
      </c>
      <c r="I21" s="829"/>
      <c r="N21" s="818">
        <f>资产负债表!B36/10000</f>
        <v>11.8531</v>
      </c>
      <c r="O21" s="829"/>
      <c r="T21" s="818">
        <f>资产负债表!B17/10000</f>
        <v>61.6398</v>
      </c>
      <c r="U21" s="829"/>
      <c r="Z21" s="818">
        <f>资产负债表!E18/10000</f>
        <v>11.0803</v>
      </c>
      <c r="AA21" s="829"/>
    </row>
    <row r="22" spans="5:20">
      <c r="E22" s="819"/>
      <c r="T22" s="817"/>
    </row>
    <row r="23" spans="5:20">
      <c r="E23" s="819"/>
      <c r="T23" s="819"/>
    </row>
    <row r="24" spans="2:24">
      <c r="B24" s="809" t="s">
        <v>616</v>
      </c>
      <c r="C24" s="810"/>
      <c r="D24" s="821"/>
      <c r="E24" s="813"/>
      <c r="F24" s="807"/>
      <c r="G24" s="813"/>
      <c r="H24" s="809" t="s">
        <v>617</v>
      </c>
      <c r="I24" s="810"/>
      <c r="Q24" s="809" t="s">
        <v>99</v>
      </c>
      <c r="R24" s="810"/>
      <c r="S24" s="821"/>
      <c r="T24" s="813"/>
      <c r="U24" s="807"/>
      <c r="V24" s="813"/>
      <c r="W24" s="809" t="s">
        <v>105</v>
      </c>
      <c r="X24" s="810"/>
    </row>
    <row r="25" s="803" customFormat="1" spans="2:24">
      <c r="B25" s="818">
        <f>利润表!B11-利润表!B12-利润表!B13</f>
        <v>0</v>
      </c>
      <c r="C25" s="829"/>
      <c r="E25" s="823"/>
      <c r="H25" s="818">
        <f>利润表!B17-利润表!B16</f>
        <v>0</v>
      </c>
      <c r="I25" s="829"/>
      <c r="Q25" s="818">
        <f>资产负债表!B6/10000</f>
        <v>0.4559</v>
      </c>
      <c r="R25" s="829"/>
      <c r="T25" s="823"/>
      <c r="W25" s="818">
        <f>资产负债表!B9/10000</f>
        <v>52.2445</v>
      </c>
      <c r="X25" s="829"/>
    </row>
    <row r="26" spans="5:20">
      <c r="E26" s="819"/>
      <c r="T26" s="819"/>
    </row>
    <row r="27" spans="5:20">
      <c r="E27" s="819"/>
      <c r="T27" s="819"/>
    </row>
    <row r="28" spans="2:24">
      <c r="B28" s="809" t="s">
        <v>618</v>
      </c>
      <c r="C28" s="810"/>
      <c r="D28" s="821"/>
      <c r="E28" s="813"/>
      <c r="Q28" s="809" t="s">
        <v>115</v>
      </c>
      <c r="R28" s="810"/>
      <c r="S28" s="821"/>
      <c r="T28" s="813"/>
      <c r="U28" s="807"/>
      <c r="V28" s="813"/>
      <c r="W28" s="809" t="s">
        <v>554</v>
      </c>
      <c r="X28" s="810"/>
    </row>
    <row r="29" s="803" customFormat="1" spans="2:24">
      <c r="B29" s="818">
        <f>利润表!B20/10000</f>
        <v>0.0666</v>
      </c>
      <c r="C29" s="829"/>
      <c r="Q29" s="818">
        <f>资产负债表!B14/10000</f>
        <v>0.6353</v>
      </c>
      <c r="R29" s="829"/>
      <c r="W29" s="818">
        <f>T21-Q25-W25-Q29</f>
        <v>8.3041</v>
      </c>
      <c r="X29" s="829"/>
    </row>
    <row r="31" s="331" customFormat="1" ht="17.25" spans="1:256">
      <c r="A31" s="804"/>
      <c r="B31" s="804"/>
      <c r="C31" s="804"/>
      <c r="D31" s="804"/>
      <c r="E31" s="804"/>
      <c r="F31" s="804"/>
      <c r="G31" s="804"/>
      <c r="H31" s="804"/>
      <c r="I31" s="804"/>
      <c r="J31" s="804"/>
      <c r="K31" s="804"/>
      <c r="L31" s="804"/>
      <c r="M31" s="804"/>
      <c r="N31" s="804"/>
      <c r="O31" s="804"/>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c r="BP31" s="804"/>
      <c r="BQ31" s="804"/>
      <c r="BR31" s="804"/>
      <c r="BS31" s="804"/>
      <c r="BT31" s="804"/>
      <c r="BU31" s="804"/>
      <c r="BV31" s="804"/>
      <c r="BW31" s="804"/>
      <c r="BX31" s="804"/>
      <c r="BY31" s="804"/>
      <c r="BZ31" s="804"/>
      <c r="CA31" s="804"/>
      <c r="CB31" s="804"/>
      <c r="CC31" s="804"/>
      <c r="CD31" s="804"/>
      <c r="CE31" s="804"/>
      <c r="CF31" s="804"/>
      <c r="CG31" s="804"/>
      <c r="CH31" s="804"/>
      <c r="CI31" s="804"/>
      <c r="CJ31" s="804"/>
      <c r="CK31" s="804"/>
      <c r="CL31" s="804"/>
      <c r="CM31" s="804"/>
      <c r="CN31" s="804"/>
      <c r="CO31" s="804"/>
      <c r="CP31" s="804"/>
      <c r="CQ31" s="804"/>
      <c r="CR31" s="804"/>
      <c r="CS31" s="804"/>
      <c r="CT31" s="804"/>
      <c r="CU31" s="804"/>
      <c r="CV31" s="804"/>
      <c r="CW31" s="804"/>
      <c r="CX31" s="804"/>
      <c r="CY31" s="804"/>
      <c r="CZ31" s="804"/>
      <c r="DA31" s="804"/>
      <c r="DB31" s="804"/>
      <c r="DC31" s="804"/>
      <c r="DD31" s="804"/>
      <c r="DE31" s="804"/>
      <c r="DF31" s="804"/>
      <c r="DG31" s="804"/>
      <c r="DH31" s="804"/>
      <c r="DI31" s="804"/>
      <c r="DJ31" s="804"/>
      <c r="DK31" s="804"/>
      <c r="DL31" s="804"/>
      <c r="DM31" s="804"/>
      <c r="DN31" s="804"/>
      <c r="DO31" s="804"/>
      <c r="DP31" s="804"/>
      <c r="DQ31" s="804"/>
      <c r="DR31" s="804"/>
      <c r="DS31" s="804"/>
      <c r="DT31" s="804"/>
      <c r="DU31" s="804"/>
      <c r="DV31" s="804"/>
      <c r="DW31" s="804"/>
      <c r="DX31" s="804"/>
      <c r="DY31" s="804"/>
      <c r="DZ31" s="804"/>
      <c r="EA31" s="804"/>
      <c r="EB31" s="804"/>
      <c r="EC31" s="804"/>
      <c r="ED31" s="804"/>
      <c r="EE31" s="804"/>
      <c r="EF31" s="804"/>
      <c r="EG31" s="804"/>
      <c r="EH31" s="804"/>
      <c r="EI31" s="804"/>
      <c r="EJ31" s="804"/>
      <c r="EK31" s="804"/>
      <c r="EL31" s="804"/>
      <c r="EM31" s="804"/>
      <c r="EN31" s="804"/>
      <c r="EO31" s="804"/>
      <c r="EP31" s="804"/>
      <c r="EQ31" s="804"/>
      <c r="ER31" s="804"/>
      <c r="ES31" s="804"/>
      <c r="ET31" s="804"/>
      <c r="EU31" s="804"/>
      <c r="EV31" s="804"/>
      <c r="EW31" s="804"/>
      <c r="EX31" s="804"/>
      <c r="EY31" s="804"/>
      <c r="EZ31" s="804"/>
      <c r="FA31" s="804"/>
      <c r="FB31" s="804"/>
      <c r="FC31" s="804"/>
      <c r="FD31" s="804"/>
      <c r="FE31" s="804"/>
      <c r="FF31" s="804"/>
      <c r="FG31" s="804"/>
      <c r="FH31" s="804"/>
      <c r="FI31" s="804"/>
      <c r="FJ31" s="804"/>
      <c r="FK31" s="804"/>
      <c r="FL31" s="804"/>
      <c r="FM31" s="804"/>
      <c r="FN31" s="804"/>
      <c r="FO31" s="804"/>
      <c r="FP31" s="804"/>
      <c r="FQ31" s="804"/>
      <c r="FR31" s="804"/>
      <c r="FS31" s="804"/>
      <c r="FT31" s="804"/>
      <c r="FU31" s="804"/>
      <c r="FV31" s="804"/>
      <c r="FW31" s="804"/>
      <c r="FX31" s="804"/>
      <c r="FY31" s="804"/>
      <c r="FZ31" s="804"/>
      <c r="GA31" s="804"/>
      <c r="GB31" s="804"/>
      <c r="GC31" s="804"/>
      <c r="GD31" s="804"/>
      <c r="GE31" s="804"/>
      <c r="GF31" s="804"/>
      <c r="GG31" s="804"/>
      <c r="GH31" s="804"/>
      <c r="GI31" s="804"/>
      <c r="GJ31" s="804"/>
      <c r="GK31" s="804"/>
      <c r="GL31" s="804"/>
      <c r="GM31" s="804"/>
      <c r="GN31" s="804"/>
      <c r="GO31" s="804"/>
      <c r="GP31" s="804"/>
      <c r="GQ31" s="804"/>
      <c r="GR31" s="804"/>
      <c r="GS31" s="804"/>
      <c r="GT31" s="804"/>
      <c r="GU31" s="804"/>
      <c r="GV31" s="804"/>
      <c r="GW31" s="804"/>
      <c r="GX31" s="804"/>
      <c r="GY31" s="804"/>
      <c r="GZ31" s="804"/>
      <c r="HA31" s="804"/>
      <c r="HB31" s="804"/>
      <c r="HC31" s="804"/>
      <c r="HD31" s="804"/>
      <c r="HE31" s="804"/>
      <c r="HF31" s="804"/>
      <c r="HG31" s="804"/>
      <c r="HH31" s="804"/>
      <c r="HI31" s="804"/>
      <c r="HJ31" s="804"/>
      <c r="HK31" s="804"/>
      <c r="HL31" s="804"/>
      <c r="HM31" s="804"/>
      <c r="HN31" s="804"/>
      <c r="HO31" s="804"/>
      <c r="HP31" s="804"/>
      <c r="HQ31" s="804"/>
      <c r="HR31" s="804"/>
      <c r="HS31" s="804"/>
      <c r="HT31" s="804"/>
      <c r="HU31" s="804"/>
      <c r="HV31" s="804"/>
      <c r="HW31" s="804"/>
      <c r="HX31" s="804"/>
      <c r="HY31" s="804"/>
      <c r="HZ31" s="804"/>
      <c r="IA31" s="804"/>
      <c r="IB31" s="804"/>
      <c r="IC31" s="804"/>
      <c r="ID31" s="804"/>
      <c r="IE31" s="804"/>
      <c r="IF31" s="804"/>
      <c r="IG31" s="804"/>
      <c r="IH31" s="804"/>
      <c r="II31" s="804"/>
      <c r="IJ31" s="804"/>
      <c r="IK31" s="804"/>
      <c r="IL31" s="804"/>
      <c r="IM31" s="804"/>
      <c r="IN31" s="804"/>
      <c r="IO31" s="804"/>
      <c r="IP31" s="804"/>
      <c r="IQ31" s="804"/>
      <c r="IR31" s="804"/>
      <c r="IS31" s="804"/>
      <c r="IT31" s="804"/>
      <c r="IU31" s="804"/>
      <c r="IV31" s="804"/>
    </row>
  </sheetData>
  <mergeCells count="57">
    <mergeCell ref="A1:AA1"/>
    <mergeCell ref="N2:R2"/>
    <mergeCell ref="U2:W2"/>
    <mergeCell ref="N4:O4"/>
    <mergeCell ref="Q4:T4"/>
    <mergeCell ref="V4:Y4"/>
    <mergeCell ref="N5:O5"/>
    <mergeCell ref="Q5:T5"/>
    <mergeCell ref="V5:Y5"/>
    <mergeCell ref="K8:L8"/>
    <mergeCell ref="T8:U8"/>
    <mergeCell ref="K9:L9"/>
    <mergeCell ref="T9:U9"/>
    <mergeCell ref="E12:F12"/>
    <mergeCell ref="N12:O12"/>
    <mergeCell ref="Q12:R12"/>
    <mergeCell ref="W12:X12"/>
    <mergeCell ref="E13:F13"/>
    <mergeCell ref="N13:O13"/>
    <mergeCell ref="Q13:R13"/>
    <mergeCell ref="W13:X13"/>
    <mergeCell ref="B16:C16"/>
    <mergeCell ref="E16:F16"/>
    <mergeCell ref="H16:I16"/>
    <mergeCell ref="K16:L16"/>
    <mergeCell ref="Q16:R16"/>
    <mergeCell ref="Z16:AA16"/>
    <mergeCell ref="B17:C17"/>
    <mergeCell ref="E17:F17"/>
    <mergeCell ref="H17:I17"/>
    <mergeCell ref="K17:L17"/>
    <mergeCell ref="Q17:R17"/>
    <mergeCell ref="Z17:AA17"/>
    <mergeCell ref="B20:C20"/>
    <mergeCell ref="N20:O20"/>
    <mergeCell ref="T20:U20"/>
    <mergeCell ref="Z20:AA20"/>
    <mergeCell ref="B21:C21"/>
    <mergeCell ref="H21:I21"/>
    <mergeCell ref="N21:O21"/>
    <mergeCell ref="T21:U21"/>
    <mergeCell ref="Z21:AA21"/>
    <mergeCell ref="B24:C24"/>
    <mergeCell ref="H24:I24"/>
    <mergeCell ref="Q24:R24"/>
    <mergeCell ref="W24:X24"/>
    <mergeCell ref="B25:C25"/>
    <mergeCell ref="H25:I25"/>
    <mergeCell ref="Q25:R25"/>
    <mergeCell ref="W25:X25"/>
    <mergeCell ref="B28:C28"/>
    <mergeCell ref="Q28:R28"/>
    <mergeCell ref="W28:X28"/>
    <mergeCell ref="B29:C29"/>
    <mergeCell ref="Q29:R29"/>
    <mergeCell ref="W29:X29"/>
    <mergeCell ref="H19:I20"/>
  </mergeCells>
  <printOptions horizontalCentered="1"/>
  <pageMargins left="0.75" right="0.75" top="0.979166666666667" bottom="0.979166666666667" header="0.509027777777778" footer="0.509027777777778"/>
  <pageSetup paperSize="256" scale="97" orientation="landscape" blackAndWhite="1" horizontalDpi="300"/>
  <headerFooter alignWithMargins="0" scaleWithDoc="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IV31"/>
  <sheetViews>
    <sheetView showGridLines="0" zoomScale="90" zoomScaleNormal="90" workbookViewId="0">
      <selection activeCell="AC17" sqref="AC17"/>
    </sheetView>
  </sheetViews>
  <sheetFormatPr defaultColWidth="8" defaultRowHeight="16.5"/>
  <cols>
    <col min="1" max="1" width="4.625" style="804" customWidth="1"/>
    <col min="2" max="2" width="4.5" style="804" customWidth="1"/>
    <col min="3" max="3" width="6" style="804" customWidth="1"/>
    <col min="4" max="4" width="2.375" style="804" customWidth="1"/>
    <col min="5" max="6" width="4.5" style="804" customWidth="1"/>
    <col min="7" max="7" width="2.375" style="804" customWidth="1"/>
    <col min="8" max="8" width="6.875" style="804" customWidth="1"/>
    <col min="9" max="9" width="3.125" style="804" customWidth="1"/>
    <col min="10" max="10" width="2.375" style="804" customWidth="1"/>
    <col min="11" max="11" width="4.25" style="804" customWidth="1"/>
    <col min="12" max="12" width="5.875" style="804" customWidth="1"/>
    <col min="13" max="13" width="2.375" style="804" customWidth="1"/>
    <col min="14" max="14" width="6" style="804" customWidth="1"/>
    <col min="15" max="15" width="5.75" style="804" customWidth="1"/>
    <col min="16" max="16" width="2.375" style="804" customWidth="1"/>
    <col min="17" max="17" width="3.625" style="804" customWidth="1"/>
    <col min="18" max="18" width="8.625" style="804" customWidth="1"/>
    <col min="19" max="19" width="2.375" style="804" customWidth="1"/>
    <col min="20" max="20" width="2.875" style="804" customWidth="1"/>
    <col min="21" max="21" width="5.75" style="804" customWidth="1"/>
    <col min="22" max="22" width="2.375" style="804" customWidth="1"/>
    <col min="23" max="23" width="3.5" style="804" customWidth="1"/>
    <col min="24" max="24" width="5.25" style="804" customWidth="1"/>
    <col min="25" max="25" width="0.75" style="804" customWidth="1"/>
    <col min="26" max="26" width="4.625" style="804" customWidth="1"/>
    <col min="27" max="27" width="5.375" style="804" customWidth="1"/>
    <col min="28" max="16384" width="8" style="804"/>
  </cols>
  <sheetData>
    <row r="1" ht="29.25" spans="1:27">
      <c r="A1" s="805" t="s">
        <v>619</v>
      </c>
      <c r="B1" s="805"/>
      <c r="C1" s="805"/>
      <c r="D1" s="805"/>
      <c r="E1" s="805"/>
      <c r="F1" s="805"/>
      <c r="G1" s="805"/>
      <c r="H1" s="805"/>
      <c r="I1" s="805"/>
      <c r="J1" s="805"/>
      <c r="K1" s="805"/>
      <c r="L1" s="805"/>
      <c r="M1" s="805"/>
      <c r="N1" s="805"/>
      <c r="O1" s="805"/>
      <c r="P1" s="805"/>
      <c r="Q1" s="805"/>
      <c r="R1" s="805"/>
      <c r="S1" s="805"/>
      <c r="T1" s="805"/>
      <c r="U1" s="805"/>
      <c r="V1" s="805"/>
      <c r="W1" s="805"/>
      <c r="X1" s="805"/>
      <c r="Y1" s="805"/>
      <c r="Z1" s="805"/>
      <c r="AA1" s="805"/>
    </row>
    <row r="2" s="802" customFormat="1" ht="14.1" customHeight="1" spans="1:25">
      <c r="A2" s="806"/>
      <c r="N2" s="824" t="str">
        <f>资产负债表!C3</f>
        <v>年    月    日</v>
      </c>
      <c r="O2" s="824"/>
      <c r="P2" s="824"/>
      <c r="Q2" s="824"/>
      <c r="R2" s="824"/>
      <c r="U2" s="830"/>
      <c r="V2" s="830"/>
      <c r="W2" s="830"/>
      <c r="Y2" s="802" t="s">
        <v>605</v>
      </c>
    </row>
    <row r="3" ht="21" customHeight="1"/>
    <row r="4" ht="14.25" customHeight="1" spans="14:25">
      <c r="N4" s="825" t="s">
        <v>606</v>
      </c>
      <c r="O4" s="826"/>
      <c r="P4" s="821"/>
      <c r="Q4" s="831" t="s">
        <v>607</v>
      </c>
      <c r="R4" s="832"/>
      <c r="S4" s="832"/>
      <c r="T4" s="833"/>
      <c r="U4" s="807"/>
      <c r="V4" s="825" t="s">
        <v>608</v>
      </c>
      <c r="W4" s="834"/>
      <c r="X4" s="834"/>
      <c r="Y4" s="826"/>
    </row>
    <row r="5" s="803" customFormat="1" spans="14:25">
      <c r="N5" s="827">
        <f>K9*T9</f>
        <v>0.288069345548367</v>
      </c>
      <c r="O5" s="828"/>
      <c r="Q5" s="835"/>
      <c r="R5" s="836"/>
      <c r="S5" s="836"/>
      <c r="T5" s="837"/>
      <c r="V5" s="827">
        <f>N5*(1-Q5)</f>
        <v>0.288069345548367</v>
      </c>
      <c r="W5" s="838"/>
      <c r="X5" s="838"/>
      <c r="Y5" s="828"/>
    </row>
    <row r="6" spans="12:14">
      <c r="L6" s="807"/>
      <c r="M6" s="807"/>
      <c r="N6" s="814"/>
    </row>
    <row r="7" spans="12:20">
      <c r="L7" s="808"/>
      <c r="O7" s="816"/>
      <c r="P7" s="816"/>
      <c r="Q7" s="816"/>
      <c r="R7" s="816"/>
      <c r="S7" s="816"/>
      <c r="T7" s="817"/>
    </row>
    <row r="8" spans="11:21">
      <c r="K8" s="809" t="s">
        <v>609</v>
      </c>
      <c r="L8" s="810"/>
      <c r="T8" s="809" t="s">
        <v>610</v>
      </c>
      <c r="U8" s="810"/>
    </row>
    <row r="9" s="803" customFormat="1" spans="11:21">
      <c r="K9" s="811">
        <f>E13*N13</f>
        <v>0.216201837184272</v>
      </c>
      <c r="L9" s="812"/>
      <c r="T9" s="839">
        <f>1/(1-W13)</f>
        <v>1.33240933240933</v>
      </c>
      <c r="U9" s="840"/>
    </row>
    <row r="10" spans="6:20">
      <c r="F10" s="807"/>
      <c r="G10" s="807"/>
      <c r="H10" s="807"/>
      <c r="I10" s="807"/>
      <c r="J10" s="807"/>
      <c r="K10" s="813"/>
      <c r="R10" s="807"/>
      <c r="S10" s="807"/>
      <c r="T10" s="813"/>
    </row>
    <row r="11" spans="6:23">
      <c r="F11" s="808"/>
      <c r="L11" s="816"/>
      <c r="M11" s="816"/>
      <c r="N11" s="817"/>
      <c r="R11" s="808"/>
      <c r="U11" s="816"/>
      <c r="V11" s="816"/>
      <c r="W11" s="817"/>
    </row>
    <row r="12" spans="5:24">
      <c r="E12" s="809" t="s">
        <v>611</v>
      </c>
      <c r="F12" s="810"/>
      <c r="N12" s="809" t="s">
        <v>612</v>
      </c>
      <c r="O12" s="810"/>
      <c r="Q12" s="809" t="s">
        <v>613</v>
      </c>
      <c r="R12" s="810"/>
      <c r="W12" s="809" t="s">
        <v>620</v>
      </c>
      <c r="X12" s="810"/>
    </row>
    <row r="13" s="803" customFormat="1" spans="5:24">
      <c r="E13" s="811">
        <f>B17</f>
        <v>0.529643333333333</v>
      </c>
      <c r="F13" s="812"/>
      <c r="N13" s="811">
        <f>K17/Q17</f>
        <v>0.408202697131287</v>
      </c>
      <c r="O13" s="812"/>
      <c r="Q13" s="818">
        <f>资产负债表!B37/10000</f>
        <v>73.4929</v>
      </c>
      <c r="R13" s="829"/>
      <c r="W13" s="811">
        <f>结构比!F28</f>
        <v>0.249479889042996</v>
      </c>
      <c r="X13" s="812"/>
    </row>
    <row r="14" spans="3:24">
      <c r="C14" s="807"/>
      <c r="D14" s="807"/>
      <c r="E14" s="813"/>
      <c r="O14" s="821"/>
      <c r="P14" s="807"/>
      <c r="Q14" s="807"/>
      <c r="X14" s="815"/>
    </row>
    <row r="15" spans="3:24">
      <c r="C15" s="808"/>
      <c r="E15" s="814"/>
      <c r="F15" s="815"/>
      <c r="G15" s="816"/>
      <c r="H15" s="817"/>
      <c r="L15" s="815"/>
      <c r="M15" s="816"/>
      <c r="N15" s="816"/>
      <c r="Q15" s="814"/>
      <c r="X15" s="841"/>
    </row>
    <row r="16" spans="2:27">
      <c r="B16" s="809" t="s">
        <v>621</v>
      </c>
      <c r="C16" s="810"/>
      <c r="E16" s="809" t="s">
        <v>622</v>
      </c>
      <c r="F16" s="810"/>
      <c r="H16" s="809" t="s">
        <v>525</v>
      </c>
      <c r="I16" s="810"/>
      <c r="K16" s="809" t="s">
        <v>525</v>
      </c>
      <c r="L16" s="810"/>
      <c r="Q16" s="809" t="s">
        <v>613</v>
      </c>
      <c r="R16" s="810"/>
      <c r="X16" s="821"/>
      <c r="Y16" s="813"/>
      <c r="Z16" s="809" t="s">
        <v>623</v>
      </c>
      <c r="AA16" s="810"/>
    </row>
    <row r="17" s="803" customFormat="1" spans="2:27">
      <c r="B17" s="811">
        <f>利润表!B21/利润表!B5</f>
        <v>0.529643333333333</v>
      </c>
      <c r="C17" s="812"/>
      <c r="E17" s="811">
        <f>B21+H21+B25+H25+B29</f>
        <v>0.280736666666667</v>
      </c>
      <c r="F17" s="812"/>
      <c r="H17" s="818">
        <f>利润表!B5/10000</f>
        <v>30</v>
      </c>
      <c r="I17" s="829"/>
      <c r="K17" s="818">
        <f>H17</f>
        <v>30</v>
      </c>
      <c r="L17" s="829"/>
      <c r="Q17" s="818">
        <f>资产负债表!B37/10000</f>
        <v>73.4929</v>
      </c>
      <c r="R17" s="829"/>
      <c r="X17" s="842"/>
      <c r="Z17" s="811">
        <f>结构比!F27</f>
        <v>0</v>
      </c>
      <c r="AA17" s="812"/>
    </row>
    <row r="18" spans="5:24">
      <c r="E18" s="817"/>
      <c r="O18" s="807"/>
      <c r="P18" s="807"/>
      <c r="Q18" s="813"/>
      <c r="X18" s="841"/>
    </row>
    <row r="19" spans="5:24">
      <c r="E19" s="819"/>
      <c r="H19" s="820" t="s">
        <v>624</v>
      </c>
      <c r="I19" s="822"/>
      <c r="O19" s="808"/>
      <c r="R19" s="816"/>
      <c r="S19" s="816"/>
      <c r="T19" s="817"/>
      <c r="X19" s="841"/>
    </row>
    <row r="20" spans="2:27">
      <c r="B20" s="809" t="s">
        <v>625</v>
      </c>
      <c r="C20" s="810"/>
      <c r="D20" s="821"/>
      <c r="E20" s="813"/>
      <c r="F20" s="807"/>
      <c r="G20" s="813"/>
      <c r="H20" s="822"/>
      <c r="I20" s="822"/>
      <c r="N20" s="809" t="s">
        <v>626</v>
      </c>
      <c r="O20" s="810"/>
      <c r="T20" s="809" t="s">
        <v>627</v>
      </c>
      <c r="U20" s="810"/>
      <c r="X20" s="821"/>
      <c r="Y20" s="813"/>
      <c r="Z20" s="809" t="s">
        <v>628</v>
      </c>
      <c r="AA20" s="810"/>
    </row>
    <row r="21" s="803" customFormat="1" spans="2:27">
      <c r="B21" s="811">
        <f>利润表!D8</f>
        <v>0.113703333333333</v>
      </c>
      <c r="C21" s="812"/>
      <c r="E21" s="823"/>
      <c r="H21" s="811">
        <f>利润表!D9+利润表!D10+利润表!D11+利润表!D12</f>
        <v>0.164813333333333</v>
      </c>
      <c r="I21" s="812"/>
      <c r="N21" s="811">
        <f>结构比!B36</f>
        <v>0.161282246312229</v>
      </c>
      <c r="O21" s="812"/>
      <c r="T21" s="811">
        <f>结构比!B17</f>
        <v>0.838717753687771</v>
      </c>
      <c r="U21" s="812"/>
      <c r="Z21" s="811">
        <f>结构比!F18</f>
        <v>0.249479889042996</v>
      </c>
      <c r="AA21" s="812"/>
    </row>
    <row r="22" spans="5:20">
      <c r="E22" s="819"/>
      <c r="T22" s="817"/>
    </row>
    <row r="23" spans="5:20">
      <c r="E23" s="819"/>
      <c r="T23" s="819"/>
    </row>
    <row r="24" spans="2:24">
      <c r="B24" s="809" t="s">
        <v>629</v>
      </c>
      <c r="C24" s="810"/>
      <c r="D24" s="821"/>
      <c r="E24" s="813"/>
      <c r="F24" s="807"/>
      <c r="G24" s="813"/>
      <c r="H24" s="809" t="s">
        <v>630</v>
      </c>
      <c r="I24" s="810"/>
      <c r="Q24" s="809" t="s">
        <v>631</v>
      </c>
      <c r="R24" s="810"/>
      <c r="S24" s="821"/>
      <c r="T24" s="813"/>
      <c r="U24" s="807"/>
      <c r="V24" s="813"/>
      <c r="W24" s="809" t="s">
        <v>632</v>
      </c>
      <c r="X24" s="810"/>
    </row>
    <row r="25" s="803" customFormat="1" spans="2:24">
      <c r="B25" s="811">
        <f>利润表!D11-利润表!D12-利润表!D13</f>
        <v>0</v>
      </c>
      <c r="C25" s="812"/>
      <c r="E25" s="823"/>
      <c r="H25" s="811">
        <f>利润表!D16-利润表!D17</f>
        <v>0</v>
      </c>
      <c r="I25" s="812"/>
      <c r="Q25" s="811">
        <f>结构比!B6</f>
        <v>0.00620332032073847</v>
      </c>
      <c r="R25" s="812"/>
      <c r="T25" s="823"/>
      <c r="W25" s="811">
        <f>结构比!B9</f>
        <v>0.710878193675852</v>
      </c>
      <c r="X25" s="812"/>
    </row>
    <row r="26" spans="5:20">
      <c r="E26" s="819"/>
      <c r="T26" s="819"/>
    </row>
    <row r="27" spans="5:20">
      <c r="E27" s="819"/>
      <c r="T27" s="819"/>
    </row>
    <row r="28" spans="2:24">
      <c r="B28" s="809" t="s">
        <v>633</v>
      </c>
      <c r="C28" s="810"/>
      <c r="D28" s="821"/>
      <c r="E28" s="813"/>
      <c r="Q28" s="809" t="s">
        <v>634</v>
      </c>
      <c r="R28" s="810"/>
      <c r="S28" s="821"/>
      <c r="T28" s="813"/>
      <c r="U28" s="807"/>
      <c r="V28" s="813"/>
      <c r="W28" s="809" t="s">
        <v>635</v>
      </c>
      <c r="X28" s="810"/>
    </row>
    <row r="29" s="803" customFormat="1" spans="2:24">
      <c r="B29" s="811">
        <f>利润表!D20</f>
        <v>0.00222</v>
      </c>
      <c r="C29" s="812"/>
      <c r="Q29" s="811">
        <f>结构比!B14</f>
        <v>0.00864437244958357</v>
      </c>
      <c r="R29" s="812"/>
      <c r="W29" s="811">
        <f>T21-Q25-W25-Q29</f>
        <v>0.112991867241598</v>
      </c>
      <c r="X29" s="812"/>
    </row>
    <row r="31" s="331" customFormat="1" ht="17.25" spans="1:256">
      <c r="A31" s="804"/>
      <c r="B31" s="804"/>
      <c r="C31" s="804"/>
      <c r="D31" s="804"/>
      <c r="E31" s="804"/>
      <c r="F31" s="804"/>
      <c r="G31" s="804"/>
      <c r="H31" s="804"/>
      <c r="I31" s="804"/>
      <c r="J31" s="804"/>
      <c r="K31" s="804"/>
      <c r="L31" s="804"/>
      <c r="M31" s="804"/>
      <c r="N31" s="804"/>
      <c r="O31" s="804"/>
      <c r="P31" s="804"/>
      <c r="Q31" s="804"/>
      <c r="R31" s="804"/>
      <c r="S31" s="804"/>
      <c r="T31" s="804"/>
      <c r="U31" s="804"/>
      <c r="V31" s="804"/>
      <c r="W31" s="804"/>
      <c r="X31" s="804"/>
      <c r="Y31" s="804"/>
      <c r="Z31" s="804"/>
      <c r="AA31" s="804"/>
      <c r="AB31" s="804"/>
      <c r="AC31" s="804"/>
      <c r="AD31" s="804"/>
      <c r="AE31" s="804"/>
      <c r="AF31" s="804"/>
      <c r="AG31" s="804"/>
      <c r="AH31" s="804"/>
      <c r="AI31" s="804"/>
      <c r="AJ31" s="804"/>
      <c r="AK31" s="804"/>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c r="BP31" s="804"/>
      <c r="BQ31" s="804"/>
      <c r="BR31" s="804"/>
      <c r="BS31" s="804"/>
      <c r="BT31" s="804"/>
      <c r="BU31" s="804"/>
      <c r="BV31" s="804"/>
      <c r="BW31" s="804"/>
      <c r="BX31" s="804"/>
      <c r="BY31" s="804"/>
      <c r="BZ31" s="804"/>
      <c r="CA31" s="804"/>
      <c r="CB31" s="804"/>
      <c r="CC31" s="804"/>
      <c r="CD31" s="804"/>
      <c r="CE31" s="804"/>
      <c r="CF31" s="804"/>
      <c r="CG31" s="804"/>
      <c r="CH31" s="804"/>
      <c r="CI31" s="804"/>
      <c r="CJ31" s="804"/>
      <c r="CK31" s="804"/>
      <c r="CL31" s="804"/>
      <c r="CM31" s="804"/>
      <c r="CN31" s="804"/>
      <c r="CO31" s="804"/>
      <c r="CP31" s="804"/>
      <c r="CQ31" s="804"/>
      <c r="CR31" s="804"/>
      <c r="CS31" s="804"/>
      <c r="CT31" s="804"/>
      <c r="CU31" s="804"/>
      <c r="CV31" s="804"/>
      <c r="CW31" s="804"/>
      <c r="CX31" s="804"/>
      <c r="CY31" s="804"/>
      <c r="CZ31" s="804"/>
      <c r="DA31" s="804"/>
      <c r="DB31" s="804"/>
      <c r="DC31" s="804"/>
      <c r="DD31" s="804"/>
      <c r="DE31" s="804"/>
      <c r="DF31" s="804"/>
      <c r="DG31" s="804"/>
      <c r="DH31" s="804"/>
      <c r="DI31" s="804"/>
      <c r="DJ31" s="804"/>
      <c r="DK31" s="804"/>
      <c r="DL31" s="804"/>
      <c r="DM31" s="804"/>
      <c r="DN31" s="804"/>
      <c r="DO31" s="804"/>
      <c r="DP31" s="804"/>
      <c r="DQ31" s="804"/>
      <c r="DR31" s="804"/>
      <c r="DS31" s="804"/>
      <c r="DT31" s="804"/>
      <c r="DU31" s="804"/>
      <c r="DV31" s="804"/>
      <c r="DW31" s="804"/>
      <c r="DX31" s="804"/>
      <c r="DY31" s="804"/>
      <c r="DZ31" s="804"/>
      <c r="EA31" s="804"/>
      <c r="EB31" s="804"/>
      <c r="EC31" s="804"/>
      <c r="ED31" s="804"/>
      <c r="EE31" s="804"/>
      <c r="EF31" s="804"/>
      <c r="EG31" s="804"/>
      <c r="EH31" s="804"/>
      <c r="EI31" s="804"/>
      <c r="EJ31" s="804"/>
      <c r="EK31" s="804"/>
      <c r="EL31" s="804"/>
      <c r="EM31" s="804"/>
      <c r="EN31" s="804"/>
      <c r="EO31" s="804"/>
      <c r="EP31" s="804"/>
      <c r="EQ31" s="804"/>
      <c r="ER31" s="804"/>
      <c r="ES31" s="804"/>
      <c r="ET31" s="804"/>
      <c r="EU31" s="804"/>
      <c r="EV31" s="804"/>
      <c r="EW31" s="804"/>
      <c r="EX31" s="804"/>
      <c r="EY31" s="804"/>
      <c r="EZ31" s="804"/>
      <c r="FA31" s="804"/>
      <c r="FB31" s="804"/>
      <c r="FC31" s="804"/>
      <c r="FD31" s="804"/>
      <c r="FE31" s="804"/>
      <c r="FF31" s="804"/>
      <c r="FG31" s="804"/>
      <c r="FH31" s="804"/>
      <c r="FI31" s="804"/>
      <c r="FJ31" s="804"/>
      <c r="FK31" s="804"/>
      <c r="FL31" s="804"/>
      <c r="FM31" s="804"/>
      <c r="FN31" s="804"/>
      <c r="FO31" s="804"/>
      <c r="FP31" s="804"/>
      <c r="FQ31" s="804"/>
      <c r="FR31" s="804"/>
      <c r="FS31" s="804"/>
      <c r="FT31" s="804"/>
      <c r="FU31" s="804"/>
      <c r="FV31" s="804"/>
      <c r="FW31" s="804"/>
      <c r="FX31" s="804"/>
      <c r="FY31" s="804"/>
      <c r="FZ31" s="804"/>
      <c r="GA31" s="804"/>
      <c r="GB31" s="804"/>
      <c r="GC31" s="804"/>
      <c r="GD31" s="804"/>
      <c r="GE31" s="804"/>
      <c r="GF31" s="804"/>
      <c r="GG31" s="804"/>
      <c r="GH31" s="804"/>
      <c r="GI31" s="804"/>
      <c r="GJ31" s="804"/>
      <c r="GK31" s="804"/>
      <c r="GL31" s="804"/>
      <c r="GM31" s="804"/>
      <c r="GN31" s="804"/>
      <c r="GO31" s="804"/>
      <c r="GP31" s="804"/>
      <c r="GQ31" s="804"/>
      <c r="GR31" s="804"/>
      <c r="GS31" s="804"/>
      <c r="GT31" s="804"/>
      <c r="GU31" s="804"/>
      <c r="GV31" s="804"/>
      <c r="GW31" s="804"/>
      <c r="GX31" s="804"/>
      <c r="GY31" s="804"/>
      <c r="GZ31" s="804"/>
      <c r="HA31" s="804"/>
      <c r="HB31" s="804"/>
      <c r="HC31" s="804"/>
      <c r="HD31" s="804"/>
      <c r="HE31" s="804"/>
      <c r="HF31" s="804"/>
      <c r="HG31" s="804"/>
      <c r="HH31" s="804"/>
      <c r="HI31" s="804"/>
      <c r="HJ31" s="804"/>
      <c r="HK31" s="804"/>
      <c r="HL31" s="804"/>
      <c r="HM31" s="804"/>
      <c r="HN31" s="804"/>
      <c r="HO31" s="804"/>
      <c r="HP31" s="804"/>
      <c r="HQ31" s="804"/>
      <c r="HR31" s="804"/>
      <c r="HS31" s="804"/>
      <c r="HT31" s="804"/>
      <c r="HU31" s="804"/>
      <c r="HV31" s="804"/>
      <c r="HW31" s="804"/>
      <c r="HX31" s="804"/>
      <c r="HY31" s="804"/>
      <c r="HZ31" s="804"/>
      <c r="IA31" s="804"/>
      <c r="IB31" s="804"/>
      <c r="IC31" s="804"/>
      <c r="ID31" s="804"/>
      <c r="IE31" s="804"/>
      <c r="IF31" s="804"/>
      <c r="IG31" s="804"/>
      <c r="IH31" s="804"/>
      <c r="II31" s="804"/>
      <c r="IJ31" s="804"/>
      <c r="IK31" s="804"/>
      <c r="IL31" s="804"/>
      <c r="IM31" s="804"/>
      <c r="IN31" s="804"/>
      <c r="IO31" s="804"/>
      <c r="IP31" s="804"/>
      <c r="IQ31" s="804"/>
      <c r="IR31" s="804"/>
      <c r="IS31" s="804"/>
      <c r="IT31" s="804"/>
      <c r="IU31" s="804"/>
      <c r="IV31" s="804"/>
    </row>
  </sheetData>
  <mergeCells count="57">
    <mergeCell ref="A1:AA1"/>
    <mergeCell ref="N2:R2"/>
    <mergeCell ref="U2:W2"/>
    <mergeCell ref="N4:O4"/>
    <mergeCell ref="Q4:T4"/>
    <mergeCell ref="V4:Y4"/>
    <mergeCell ref="N5:O5"/>
    <mergeCell ref="Q5:T5"/>
    <mergeCell ref="V5:Y5"/>
    <mergeCell ref="K8:L8"/>
    <mergeCell ref="T8:U8"/>
    <mergeCell ref="K9:L9"/>
    <mergeCell ref="T9:U9"/>
    <mergeCell ref="E12:F12"/>
    <mergeCell ref="N12:O12"/>
    <mergeCell ref="Q12:R12"/>
    <mergeCell ref="W12:X12"/>
    <mergeCell ref="E13:F13"/>
    <mergeCell ref="N13:O13"/>
    <mergeCell ref="Q13:R13"/>
    <mergeCell ref="W13:X13"/>
    <mergeCell ref="B16:C16"/>
    <mergeCell ref="E16:F16"/>
    <mergeCell ref="H16:I16"/>
    <mergeCell ref="K16:L16"/>
    <mergeCell ref="Q16:R16"/>
    <mergeCell ref="Z16:AA16"/>
    <mergeCell ref="B17:C17"/>
    <mergeCell ref="E17:F17"/>
    <mergeCell ref="H17:I17"/>
    <mergeCell ref="K17:L17"/>
    <mergeCell ref="Q17:R17"/>
    <mergeCell ref="Z17:AA17"/>
    <mergeCell ref="B20:C20"/>
    <mergeCell ref="N20:O20"/>
    <mergeCell ref="T20:U20"/>
    <mergeCell ref="Z20:AA20"/>
    <mergeCell ref="B21:C21"/>
    <mergeCell ref="H21:I21"/>
    <mergeCell ref="N21:O21"/>
    <mergeCell ref="T21:U21"/>
    <mergeCell ref="Z21:AA21"/>
    <mergeCell ref="B24:C24"/>
    <mergeCell ref="H24:I24"/>
    <mergeCell ref="Q24:R24"/>
    <mergeCell ref="W24:X24"/>
    <mergeCell ref="B25:C25"/>
    <mergeCell ref="H25:I25"/>
    <mergeCell ref="Q25:R25"/>
    <mergeCell ref="W25:X25"/>
    <mergeCell ref="B28:C28"/>
    <mergeCell ref="Q28:R28"/>
    <mergeCell ref="W28:X28"/>
    <mergeCell ref="B29:C29"/>
    <mergeCell ref="Q29:R29"/>
    <mergeCell ref="W29:X29"/>
    <mergeCell ref="H19:I20"/>
  </mergeCells>
  <pageMargins left="0.75" right="0.75" top="1" bottom="1" header="0.509027777777778" footer="0.509027777777778"/>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Z43"/>
  <sheetViews>
    <sheetView showGridLines="0" zoomScale="90" zoomScaleNormal="90" workbookViewId="0">
      <selection activeCell="S25" sqref="S25:U25"/>
    </sheetView>
  </sheetViews>
  <sheetFormatPr defaultColWidth="8" defaultRowHeight="14.25"/>
  <cols>
    <col min="1" max="1" width="4.625" style="759" customWidth="1"/>
    <col min="2" max="3" width="3.25" style="759" customWidth="1"/>
    <col min="4" max="4" width="6.125" style="759" customWidth="1"/>
    <col min="5" max="5" width="7.625" style="759" customWidth="1"/>
    <col min="6" max="6" width="6.125" style="759" customWidth="1"/>
    <col min="7" max="7" width="5" style="759" customWidth="1"/>
    <col min="8" max="8" width="5.5" style="759" customWidth="1"/>
    <col min="9" max="12" width="3.25" style="759" customWidth="1"/>
    <col min="13" max="13" width="13" style="759" customWidth="1"/>
    <col min="14" max="16" width="3.25" style="759" customWidth="1"/>
    <col min="17" max="18" width="3.75" style="759" customWidth="1"/>
    <col min="19" max="19" width="4.875" style="759" customWidth="1"/>
    <col min="20" max="22" width="3.25" style="759" customWidth="1"/>
    <col min="23" max="23" width="4.25" style="759" customWidth="1"/>
    <col min="24" max="24" width="3.25" style="759" customWidth="1"/>
    <col min="25" max="25" width="4.75" style="759" customWidth="1"/>
    <col min="26" max="26" width="5.25" style="759" customWidth="1"/>
    <col min="27" max="27" width="8" style="759" customWidth="1"/>
    <col min="28" max="16384" width="8" style="759"/>
  </cols>
  <sheetData>
    <row r="1" ht="29.25" spans="1:26">
      <c r="A1" s="760" t="s">
        <v>636</v>
      </c>
      <c r="B1" s="760"/>
      <c r="C1" s="760"/>
      <c r="D1" s="760"/>
      <c r="E1" s="760"/>
      <c r="F1" s="760"/>
      <c r="G1" s="760"/>
      <c r="H1" s="760"/>
      <c r="I1" s="760"/>
      <c r="J1" s="760"/>
      <c r="K1" s="760"/>
      <c r="L1" s="760"/>
      <c r="M1" s="760"/>
      <c r="N1" s="760"/>
      <c r="O1" s="760"/>
      <c r="P1" s="760"/>
      <c r="Q1" s="760"/>
      <c r="R1" s="760"/>
      <c r="S1" s="760"/>
      <c r="T1" s="760"/>
      <c r="U1" s="760"/>
      <c r="V1" s="760"/>
      <c r="W1" s="760"/>
      <c r="X1" s="760"/>
      <c r="Y1" s="760"/>
      <c r="Z1" s="760"/>
    </row>
    <row r="3" ht="16.5" spans="1:26">
      <c r="A3" s="761"/>
      <c r="B3" s="762"/>
      <c r="C3" s="762"/>
      <c r="D3" s="762"/>
      <c r="E3" s="762"/>
      <c r="F3" s="762"/>
      <c r="G3" s="762"/>
      <c r="H3" s="762"/>
      <c r="I3" s="762"/>
      <c r="J3" s="762"/>
      <c r="K3" s="762"/>
      <c r="L3" s="762"/>
      <c r="M3" s="762" t="s">
        <v>637</v>
      </c>
      <c r="N3" s="762"/>
      <c r="O3" s="762"/>
      <c r="P3" s="762"/>
      <c r="Q3" s="762"/>
      <c r="R3" s="762"/>
      <c r="S3" s="762"/>
      <c r="T3" s="762"/>
      <c r="U3" s="762"/>
      <c r="V3" s="762"/>
      <c r="W3" s="762" t="s">
        <v>198</v>
      </c>
      <c r="X3" s="763"/>
      <c r="Y3" s="763"/>
      <c r="Z3" s="763"/>
    </row>
    <row r="4" spans="2:26">
      <c r="B4" s="763"/>
      <c r="C4" s="763"/>
      <c r="D4" s="763"/>
      <c r="E4" s="763"/>
      <c r="F4" s="763"/>
      <c r="G4" s="763"/>
      <c r="H4" s="763"/>
      <c r="I4" s="763"/>
      <c r="J4" s="763"/>
      <c r="K4" s="763"/>
      <c r="L4" s="763"/>
      <c r="M4" s="763"/>
      <c r="N4" s="763"/>
      <c r="O4" s="763"/>
      <c r="P4" s="763"/>
      <c r="Q4" s="763"/>
      <c r="R4" s="763"/>
      <c r="S4" s="763"/>
      <c r="T4" s="763"/>
      <c r="U4" s="763"/>
      <c r="V4" s="763"/>
      <c r="W4" s="763"/>
      <c r="X4" s="763"/>
      <c r="Y4" s="763"/>
      <c r="Z4" s="763"/>
    </row>
    <row r="5" ht="13.5" customHeight="1" spans="1:26">
      <c r="A5" s="764"/>
      <c r="B5" s="763"/>
      <c r="C5" s="763"/>
      <c r="D5" s="763"/>
      <c r="E5" s="763"/>
      <c r="F5" s="763"/>
      <c r="G5" s="763"/>
      <c r="H5" s="763"/>
      <c r="I5" s="763"/>
      <c r="J5" s="763"/>
      <c r="K5" s="763"/>
      <c r="L5" s="763"/>
      <c r="M5" s="784" t="s">
        <v>638</v>
      </c>
      <c r="N5" s="785"/>
      <c r="O5" s="786"/>
      <c r="P5" s="763"/>
      <c r="Q5" s="763"/>
      <c r="R5" s="763"/>
      <c r="S5" s="763"/>
      <c r="T5" s="763"/>
      <c r="U5" s="763"/>
      <c r="V5" s="763"/>
      <c r="W5" s="763"/>
      <c r="X5" s="763"/>
      <c r="Y5" s="763"/>
      <c r="Z5" s="763"/>
    </row>
    <row r="6" spans="1:26">
      <c r="A6" s="764"/>
      <c r="B6" s="763"/>
      <c r="C6" s="763"/>
      <c r="D6" s="763"/>
      <c r="E6" s="763"/>
      <c r="F6" s="763"/>
      <c r="G6" s="763"/>
      <c r="H6" s="763"/>
      <c r="I6" s="763"/>
      <c r="J6" s="763"/>
      <c r="K6" s="763"/>
      <c r="L6" s="763"/>
      <c r="M6" s="787">
        <f>F10+S10</f>
        <v>0.225989421334616</v>
      </c>
      <c r="N6" s="788"/>
      <c r="O6" s="789"/>
      <c r="P6" s="763"/>
      <c r="Q6" s="763"/>
      <c r="R6" s="763"/>
      <c r="S6" s="763"/>
      <c r="T6" s="763"/>
      <c r="U6" s="763"/>
      <c r="V6" s="763"/>
      <c r="W6" s="763"/>
      <c r="X6" s="763"/>
      <c r="Y6" s="763"/>
      <c r="Z6" s="763"/>
    </row>
    <row r="7" spans="1:26">
      <c r="A7" s="764"/>
      <c r="B7" s="763"/>
      <c r="C7" s="763"/>
      <c r="D7" s="763"/>
      <c r="E7" s="763"/>
      <c r="F7" s="763"/>
      <c r="G7" s="765"/>
      <c r="H7" s="765"/>
      <c r="I7" s="765"/>
      <c r="J7" s="765"/>
      <c r="K7" s="765"/>
      <c r="L7" s="765"/>
      <c r="M7" s="790"/>
      <c r="N7" s="763"/>
      <c r="O7" s="763"/>
      <c r="P7" s="763"/>
      <c r="Q7" s="763"/>
      <c r="R7" s="763"/>
      <c r="S7" s="763"/>
      <c r="T7" s="763"/>
      <c r="U7" s="763"/>
      <c r="V7" s="763"/>
      <c r="W7" s="763"/>
      <c r="X7" s="763"/>
      <c r="Y7" s="763"/>
      <c r="Z7" s="763"/>
    </row>
    <row r="8" spans="1:26">
      <c r="A8" s="764"/>
      <c r="B8" s="763"/>
      <c r="C8" s="763"/>
      <c r="D8" s="763"/>
      <c r="E8" s="763"/>
      <c r="F8" s="763"/>
      <c r="G8" s="766"/>
      <c r="H8" s="763"/>
      <c r="I8" s="763"/>
      <c r="J8" s="763"/>
      <c r="K8" s="763"/>
      <c r="L8" s="763"/>
      <c r="M8" s="763"/>
      <c r="N8" s="776"/>
      <c r="O8" s="776"/>
      <c r="P8" s="776"/>
      <c r="Q8" s="776"/>
      <c r="R8" s="776"/>
      <c r="S8" s="779"/>
      <c r="T8" s="778"/>
      <c r="U8" s="763"/>
      <c r="V8" s="763"/>
      <c r="W8" s="763"/>
      <c r="X8" s="763"/>
      <c r="Y8" s="763"/>
      <c r="Z8" s="763"/>
    </row>
    <row r="9" spans="1:26">
      <c r="A9" s="764"/>
      <c r="B9" s="763"/>
      <c r="C9" s="763"/>
      <c r="D9" s="763"/>
      <c r="E9" s="763"/>
      <c r="F9" s="767" t="s">
        <v>639</v>
      </c>
      <c r="G9" s="768"/>
      <c r="H9" s="768"/>
      <c r="I9" s="768"/>
      <c r="J9" s="774"/>
      <c r="K9" s="763"/>
      <c r="L9" s="763"/>
      <c r="M9" s="763"/>
      <c r="N9" s="763"/>
      <c r="O9" s="763"/>
      <c r="P9" s="763"/>
      <c r="Q9" s="763"/>
      <c r="R9" s="763"/>
      <c r="S9" s="767" t="s">
        <v>640</v>
      </c>
      <c r="T9" s="768"/>
      <c r="U9" s="774"/>
      <c r="V9" s="778"/>
      <c r="W9" s="763"/>
      <c r="X9" s="763"/>
      <c r="Y9" s="763"/>
      <c r="Z9" s="763"/>
    </row>
    <row r="10" spans="1:26">
      <c r="A10" s="764"/>
      <c r="B10" s="763"/>
      <c r="C10" s="763"/>
      <c r="D10" s="763"/>
      <c r="E10" s="763"/>
      <c r="F10" s="769">
        <f>B14*I14</f>
        <v>0.287363410461285</v>
      </c>
      <c r="G10" s="770"/>
      <c r="H10" s="770"/>
      <c r="I10" s="770"/>
      <c r="J10" s="775"/>
      <c r="K10" s="763"/>
      <c r="L10" s="763"/>
      <c r="M10" s="763"/>
      <c r="N10" s="763"/>
      <c r="O10" s="763"/>
      <c r="P10" s="763"/>
      <c r="Q10" s="763"/>
      <c r="R10" s="763"/>
      <c r="S10" s="769">
        <f>O14*U14</f>
        <v>-0.0613739891266685</v>
      </c>
      <c r="T10" s="770"/>
      <c r="U10" s="775"/>
      <c r="V10" s="778"/>
      <c r="W10" s="763"/>
      <c r="X10" s="763"/>
      <c r="Y10" s="763"/>
      <c r="Z10" s="763"/>
    </row>
    <row r="11" spans="1:26">
      <c r="A11" s="764"/>
      <c r="B11" s="763"/>
      <c r="C11" s="763"/>
      <c r="D11" s="763"/>
      <c r="E11" s="765"/>
      <c r="F11" s="765"/>
      <c r="G11" s="771"/>
      <c r="H11" s="772"/>
      <c r="I11" s="765"/>
      <c r="J11" s="765"/>
      <c r="K11" s="765"/>
      <c r="L11" s="765"/>
      <c r="M11" s="763"/>
      <c r="N11" s="763"/>
      <c r="O11" s="763"/>
      <c r="P11" s="763"/>
      <c r="Q11" s="765"/>
      <c r="R11" s="765"/>
      <c r="S11" s="790"/>
      <c r="T11" s="763"/>
      <c r="U11" s="763"/>
      <c r="V11" s="763"/>
      <c r="W11" s="763"/>
      <c r="X11" s="763"/>
      <c r="Y11" s="763"/>
      <c r="Z11" s="763"/>
    </row>
    <row r="12" ht="13.5" customHeight="1" spans="1:26">
      <c r="A12" s="764"/>
      <c r="B12" s="763"/>
      <c r="C12" s="763"/>
      <c r="D12" s="763"/>
      <c r="E12" s="773"/>
      <c r="F12" s="763"/>
      <c r="G12" s="763"/>
      <c r="H12" s="763"/>
      <c r="I12" s="763"/>
      <c r="J12" s="763"/>
      <c r="K12" s="763"/>
      <c r="L12" s="771"/>
      <c r="M12" s="763"/>
      <c r="N12" s="763"/>
      <c r="O12" s="763"/>
      <c r="P12" s="763"/>
      <c r="Q12" s="773"/>
      <c r="R12" s="763"/>
      <c r="S12" s="763"/>
      <c r="T12" s="776"/>
      <c r="U12" s="776"/>
      <c r="V12" s="779"/>
      <c r="W12" s="763"/>
      <c r="X12" s="763"/>
      <c r="Y12" s="763"/>
      <c r="Z12" s="763"/>
    </row>
    <row r="13" ht="12.75" customHeight="1" spans="1:26">
      <c r="A13" s="764"/>
      <c r="B13" s="767" t="s">
        <v>641</v>
      </c>
      <c r="C13" s="768"/>
      <c r="D13" s="768"/>
      <c r="E13" s="768"/>
      <c r="F13" s="774"/>
      <c r="G13" s="763"/>
      <c r="H13" s="763"/>
      <c r="I13" s="767" t="s">
        <v>642</v>
      </c>
      <c r="J13" s="768"/>
      <c r="K13" s="768"/>
      <c r="L13" s="768"/>
      <c r="M13" s="774"/>
      <c r="N13" s="763"/>
      <c r="O13" s="767" t="s">
        <v>643</v>
      </c>
      <c r="P13" s="768"/>
      <c r="Q13" s="768"/>
      <c r="R13" s="768"/>
      <c r="S13" s="774"/>
      <c r="T13" s="763"/>
      <c r="U13" s="767" t="s">
        <v>644</v>
      </c>
      <c r="V13" s="768"/>
      <c r="W13" s="774"/>
      <c r="X13" s="778"/>
      <c r="Y13" s="763"/>
      <c r="Z13" s="763"/>
    </row>
    <row r="14" ht="12.75" customHeight="1" spans="1:26">
      <c r="A14" s="764"/>
      <c r="B14" s="769">
        <f>管理用利润表!B20/管理用利润表!B5</f>
        <v>0.529643333333333</v>
      </c>
      <c r="C14" s="770"/>
      <c r="D14" s="770"/>
      <c r="E14" s="770"/>
      <c r="F14" s="775"/>
      <c r="G14" s="763"/>
      <c r="H14" s="763"/>
      <c r="I14" s="791">
        <f>管理用利润表!B5/管理用资负表!B50</f>
        <v>0.542560233228559</v>
      </c>
      <c r="J14" s="792"/>
      <c r="K14" s="792"/>
      <c r="L14" s="792"/>
      <c r="M14" s="793"/>
      <c r="N14" s="763"/>
      <c r="O14" s="769">
        <f>Q18-Q22</f>
        <v>0.287363410461285</v>
      </c>
      <c r="P14" s="770"/>
      <c r="Q14" s="770"/>
      <c r="R14" s="770"/>
      <c r="S14" s="775"/>
      <c r="T14" s="763"/>
      <c r="U14" s="791">
        <f>W18/W22</f>
        <v>-0.213576213576214</v>
      </c>
      <c r="V14" s="792"/>
      <c r="W14" s="793"/>
      <c r="X14" s="778"/>
      <c r="Y14" s="763"/>
      <c r="Z14" s="763"/>
    </row>
    <row r="15" ht="12.75" customHeight="1" spans="1:26">
      <c r="A15" s="764"/>
      <c r="B15" s="763"/>
      <c r="C15" s="766"/>
      <c r="D15" s="776"/>
      <c r="E15" s="763"/>
      <c r="F15" s="763"/>
      <c r="G15" s="763"/>
      <c r="H15" s="763"/>
      <c r="I15" s="763"/>
      <c r="J15" s="766"/>
      <c r="K15" s="763"/>
      <c r="L15" s="763"/>
      <c r="M15" s="763"/>
      <c r="N15" s="763"/>
      <c r="O15" s="763"/>
      <c r="P15" s="777"/>
      <c r="Q15" s="763"/>
      <c r="R15" s="763"/>
      <c r="S15" s="763"/>
      <c r="T15" s="763"/>
      <c r="U15" s="763"/>
      <c r="V15" s="766"/>
      <c r="W15" s="763"/>
      <c r="X15" s="763"/>
      <c r="Y15" s="763"/>
      <c r="Z15" s="763"/>
    </row>
    <row r="16" ht="12.75" customHeight="1" spans="1:26">
      <c r="A16" s="764"/>
      <c r="B16" s="763"/>
      <c r="C16" s="777"/>
      <c r="D16" s="778"/>
      <c r="E16" s="763"/>
      <c r="F16" s="763"/>
      <c r="G16" s="763"/>
      <c r="H16" s="763"/>
      <c r="I16" s="763"/>
      <c r="J16" s="777"/>
      <c r="K16" s="763"/>
      <c r="L16" s="763"/>
      <c r="M16" s="763"/>
      <c r="N16" s="763"/>
      <c r="O16" s="763"/>
      <c r="P16" s="777"/>
      <c r="Q16" s="763"/>
      <c r="R16" s="763"/>
      <c r="S16" s="763"/>
      <c r="T16" s="763"/>
      <c r="U16" s="763"/>
      <c r="V16" s="777"/>
      <c r="W16" s="763"/>
      <c r="X16" s="763"/>
      <c r="Y16" s="763"/>
      <c r="Z16" s="763"/>
    </row>
    <row r="17" ht="12.75" customHeight="1" spans="1:26">
      <c r="A17" s="764"/>
      <c r="B17" s="763"/>
      <c r="C17" s="772"/>
      <c r="D17" s="765"/>
      <c r="E17" s="767" t="s">
        <v>645</v>
      </c>
      <c r="F17" s="768"/>
      <c r="G17" s="774"/>
      <c r="H17" s="763"/>
      <c r="I17" s="763"/>
      <c r="J17" s="772"/>
      <c r="K17" s="767" t="s">
        <v>646</v>
      </c>
      <c r="L17" s="768"/>
      <c r="M17" s="774"/>
      <c r="N17" s="763"/>
      <c r="O17" s="763"/>
      <c r="P17" s="772"/>
      <c r="Q17" s="767" t="s">
        <v>639</v>
      </c>
      <c r="R17" s="768"/>
      <c r="S17" s="774"/>
      <c r="T17" s="763"/>
      <c r="U17" s="763"/>
      <c r="V17" s="772"/>
      <c r="W17" s="767" t="s">
        <v>647</v>
      </c>
      <c r="X17" s="768"/>
      <c r="Y17" s="774"/>
      <c r="Z17" s="763"/>
    </row>
    <row r="18" ht="12.75" customHeight="1" spans="1:26">
      <c r="A18" s="764"/>
      <c r="B18" s="763"/>
      <c r="C18" s="766"/>
      <c r="D18" s="763"/>
      <c r="E18" s="769">
        <f>管理用利润表!B7/管理用利润表!B5</f>
        <v>0.814826666666667</v>
      </c>
      <c r="F18" s="770"/>
      <c r="G18" s="775"/>
      <c r="H18" s="763"/>
      <c r="I18" s="763"/>
      <c r="J18" s="766"/>
      <c r="K18" s="791">
        <f>管理用利润表!B5/(管理用资负表!B15+管理用资负表!B41)</f>
        <v>0.46046451660435</v>
      </c>
      <c r="L18" s="792"/>
      <c r="M18" s="793"/>
      <c r="N18" s="763"/>
      <c r="O18" s="763"/>
      <c r="P18" s="766"/>
      <c r="Q18" s="769">
        <f>管理用利润表!B20/管理用资负表!B50</f>
        <v>0.287363410461285</v>
      </c>
      <c r="R18" s="770"/>
      <c r="S18" s="775"/>
      <c r="T18" s="763"/>
      <c r="U18" s="763"/>
      <c r="V18" s="766"/>
      <c r="W18" s="796">
        <f>管理用资负表!E26</f>
        <v>-71192</v>
      </c>
      <c r="X18" s="797"/>
      <c r="Y18" s="798"/>
      <c r="Z18" s="763"/>
    </row>
    <row r="19" ht="12.75" customHeight="1" spans="1:26">
      <c r="A19" s="764"/>
      <c r="B19" s="763"/>
      <c r="C19" s="777"/>
      <c r="D19" s="763"/>
      <c r="E19" s="763"/>
      <c r="F19" s="763"/>
      <c r="G19" s="773"/>
      <c r="H19" s="763"/>
      <c r="I19" s="763"/>
      <c r="J19" s="777"/>
      <c r="K19" s="763"/>
      <c r="L19" s="766"/>
      <c r="M19" s="763"/>
      <c r="N19" s="763"/>
      <c r="O19" s="763"/>
      <c r="P19" s="777"/>
      <c r="Q19" s="763"/>
      <c r="R19" s="763"/>
      <c r="S19" s="763"/>
      <c r="T19" s="763"/>
      <c r="U19" s="763"/>
      <c r="V19" s="777"/>
      <c r="W19" s="763"/>
      <c r="X19" s="763"/>
      <c r="Y19" s="763"/>
      <c r="Z19" s="763"/>
    </row>
    <row r="20" ht="12.75" customHeight="1" spans="1:26">
      <c r="A20" s="764"/>
      <c r="B20" s="763"/>
      <c r="C20" s="777"/>
      <c r="D20" s="763"/>
      <c r="E20" s="766"/>
      <c r="F20" s="776"/>
      <c r="G20" s="779"/>
      <c r="H20" s="778"/>
      <c r="I20" s="763"/>
      <c r="J20" s="777"/>
      <c r="K20" s="763"/>
      <c r="L20" s="777"/>
      <c r="M20" s="763"/>
      <c r="N20" s="763"/>
      <c r="O20" s="763"/>
      <c r="P20" s="777"/>
      <c r="Q20" s="763"/>
      <c r="R20" s="763"/>
      <c r="S20" s="763"/>
      <c r="T20" s="763"/>
      <c r="U20" s="763"/>
      <c r="V20" s="777"/>
      <c r="W20" s="763"/>
      <c r="X20" s="763"/>
      <c r="Y20" s="763"/>
      <c r="Z20" s="763"/>
    </row>
    <row r="21" ht="12.75" customHeight="1" spans="1:26">
      <c r="A21" s="764"/>
      <c r="B21" s="763"/>
      <c r="C21" s="777"/>
      <c r="D21" s="780" t="s">
        <v>648</v>
      </c>
      <c r="E21" s="781"/>
      <c r="F21" s="763"/>
      <c r="G21" s="780" t="s">
        <v>649</v>
      </c>
      <c r="H21" s="781"/>
      <c r="I21" s="763"/>
      <c r="J21" s="777"/>
      <c r="K21" s="763"/>
      <c r="L21" s="772"/>
      <c r="M21" s="794" t="s">
        <v>650</v>
      </c>
      <c r="N21" s="763"/>
      <c r="O21" s="763"/>
      <c r="P21" s="772"/>
      <c r="Q21" s="767" t="s">
        <v>651</v>
      </c>
      <c r="R21" s="768"/>
      <c r="S21" s="774"/>
      <c r="T21" s="763"/>
      <c r="U21" s="763"/>
      <c r="V21" s="772"/>
      <c r="W21" s="767" t="s">
        <v>652</v>
      </c>
      <c r="X21" s="768"/>
      <c r="Y21" s="774"/>
      <c r="Z21" s="763"/>
    </row>
    <row r="22" ht="12.75" customHeight="1" spans="1:26">
      <c r="A22" s="764"/>
      <c r="B22" s="763"/>
      <c r="C22" s="777"/>
      <c r="D22" s="782"/>
      <c r="E22" s="783"/>
      <c r="F22" s="763"/>
      <c r="G22" s="782"/>
      <c r="H22" s="783"/>
      <c r="I22" s="763"/>
      <c r="J22" s="777"/>
      <c r="K22" s="763"/>
      <c r="L22" s="766"/>
      <c r="M22" s="795"/>
      <c r="N22" s="763"/>
      <c r="O22" s="763"/>
      <c r="P22" s="763"/>
      <c r="Q22" s="769">
        <f>S25/S28</f>
        <v>0</v>
      </c>
      <c r="R22" s="770"/>
      <c r="S22" s="775"/>
      <c r="T22" s="763"/>
      <c r="U22" s="763"/>
      <c r="V22" s="763"/>
      <c r="W22" s="796">
        <f>管理用资负表!E49</f>
        <v>333333</v>
      </c>
      <c r="X22" s="797"/>
      <c r="Y22" s="798"/>
      <c r="Z22" s="763"/>
    </row>
    <row r="23" ht="12.75" customHeight="1" spans="1:26">
      <c r="A23" s="764"/>
      <c r="B23" s="763"/>
      <c r="C23" s="777"/>
      <c r="D23" s="763"/>
      <c r="E23" s="763"/>
      <c r="F23" s="763"/>
      <c r="G23" s="763"/>
      <c r="H23" s="763"/>
      <c r="I23" s="763"/>
      <c r="J23" s="777"/>
      <c r="K23" s="763"/>
      <c r="L23" s="777"/>
      <c r="M23" s="763"/>
      <c r="N23" s="763"/>
      <c r="O23" s="763"/>
      <c r="P23" s="763"/>
      <c r="Q23" s="763"/>
      <c r="R23" s="777"/>
      <c r="S23" s="763"/>
      <c r="T23" s="763"/>
      <c r="U23" s="763"/>
      <c r="V23" s="763"/>
      <c r="W23" s="763"/>
      <c r="X23" s="766"/>
      <c r="Y23" s="763"/>
      <c r="Z23" s="763"/>
    </row>
    <row r="24" ht="12.75" customHeight="1" spans="1:26">
      <c r="A24" s="764"/>
      <c r="B24" s="763"/>
      <c r="C24" s="772"/>
      <c r="D24" s="767" t="s">
        <v>653</v>
      </c>
      <c r="E24" s="774"/>
      <c r="F24" s="763"/>
      <c r="G24" s="763"/>
      <c r="H24" s="763"/>
      <c r="I24" s="763"/>
      <c r="J24" s="777"/>
      <c r="K24" s="763"/>
      <c r="L24" s="772"/>
      <c r="M24" s="794" t="s">
        <v>654</v>
      </c>
      <c r="N24" s="763"/>
      <c r="O24" s="763"/>
      <c r="P24" s="763"/>
      <c r="Q24" s="763"/>
      <c r="R24" s="772"/>
      <c r="S24" s="767" t="s">
        <v>655</v>
      </c>
      <c r="T24" s="768"/>
      <c r="U24" s="774"/>
      <c r="V24" s="778"/>
      <c r="W24" s="763"/>
      <c r="X24" s="772"/>
      <c r="Y24" s="767" t="s">
        <v>656</v>
      </c>
      <c r="Z24" s="774"/>
    </row>
    <row r="25" ht="12.75" customHeight="1" spans="1:26">
      <c r="A25" s="764"/>
      <c r="B25" s="763"/>
      <c r="C25" s="766"/>
      <c r="D25" s="769">
        <f>(管理用利润表!B8+管理用利润表!B9+管理用利润表!B10+管理用利润表!B11)/管理用利润表!B5</f>
        <v>0.282963333333333</v>
      </c>
      <c r="E25" s="775"/>
      <c r="F25" s="763"/>
      <c r="G25" s="763"/>
      <c r="H25" s="763"/>
      <c r="I25" s="763"/>
      <c r="J25" s="777"/>
      <c r="K25" s="763"/>
      <c r="L25" s="766"/>
      <c r="M25" s="795"/>
      <c r="N25" s="763"/>
      <c r="O25" s="763"/>
      <c r="P25" s="763"/>
      <c r="Q25" s="763"/>
      <c r="R25" s="766"/>
      <c r="S25" s="796">
        <f>管理用利润表!B24</f>
        <v>0</v>
      </c>
      <c r="T25" s="797"/>
      <c r="U25" s="798"/>
      <c r="V25" s="778"/>
      <c r="W25" s="763"/>
      <c r="X25" s="766"/>
      <c r="Y25" s="799"/>
      <c r="Z25" s="801"/>
    </row>
    <row r="26" ht="12.75" customHeight="1" spans="1:26">
      <c r="A26" s="764"/>
      <c r="B26" s="763"/>
      <c r="C26" s="777"/>
      <c r="D26" s="778"/>
      <c r="E26" s="766"/>
      <c r="F26" s="763"/>
      <c r="G26" s="763"/>
      <c r="H26" s="763"/>
      <c r="I26" s="763"/>
      <c r="J26" s="777"/>
      <c r="K26" s="763"/>
      <c r="L26" s="777"/>
      <c r="M26" s="763"/>
      <c r="N26" s="763"/>
      <c r="O26" s="763"/>
      <c r="P26" s="763"/>
      <c r="Q26" s="763"/>
      <c r="R26" s="777"/>
      <c r="S26" s="763"/>
      <c r="T26" s="763"/>
      <c r="U26" s="763"/>
      <c r="V26" s="763"/>
      <c r="W26" s="763"/>
      <c r="X26" s="777"/>
      <c r="Y26" s="763"/>
      <c r="Z26" s="763"/>
    </row>
    <row r="27" ht="12.75" customHeight="1" spans="1:26">
      <c r="A27" s="764"/>
      <c r="B27" s="763"/>
      <c r="C27" s="777"/>
      <c r="D27" s="763"/>
      <c r="E27" s="772"/>
      <c r="F27" s="767" t="s">
        <v>657</v>
      </c>
      <c r="G27" s="774"/>
      <c r="H27" s="763"/>
      <c r="I27" s="763"/>
      <c r="J27" s="777"/>
      <c r="K27" s="763"/>
      <c r="L27" s="772"/>
      <c r="M27" s="794" t="s">
        <v>658</v>
      </c>
      <c r="N27" s="763"/>
      <c r="O27" s="763"/>
      <c r="P27" s="763"/>
      <c r="Q27" s="763"/>
      <c r="R27" s="772"/>
      <c r="S27" s="767" t="s">
        <v>647</v>
      </c>
      <c r="T27" s="768"/>
      <c r="U27" s="774"/>
      <c r="V27" s="778"/>
      <c r="W27" s="763"/>
      <c r="X27" s="772"/>
      <c r="Y27" s="767" t="s">
        <v>659</v>
      </c>
      <c r="Z27" s="774"/>
    </row>
    <row r="28" ht="12.75" customHeight="1" spans="1:26">
      <c r="A28" s="764"/>
      <c r="B28" s="763"/>
      <c r="C28" s="777"/>
      <c r="D28" s="763"/>
      <c r="E28" s="763"/>
      <c r="F28" s="769">
        <f>(管理用利润表!B15-管理用利润表!B13-管理用利润表!B14+管理用利润表!B12)/管理用利润表!B5</f>
        <v>0.531863333333333</v>
      </c>
      <c r="G28" s="775"/>
      <c r="H28" s="763"/>
      <c r="I28" s="763"/>
      <c r="J28" s="777"/>
      <c r="K28" s="763"/>
      <c r="L28" s="766"/>
      <c r="M28" s="795"/>
      <c r="N28" s="763"/>
      <c r="O28" s="763"/>
      <c r="P28" s="763"/>
      <c r="Q28" s="763"/>
      <c r="R28" s="763"/>
      <c r="S28" s="796">
        <f>管理用资负表!E26</f>
        <v>-71192</v>
      </c>
      <c r="T28" s="797"/>
      <c r="U28" s="798"/>
      <c r="V28" s="778"/>
      <c r="W28" s="763"/>
      <c r="X28" s="763"/>
      <c r="Y28" s="799"/>
      <c r="Z28" s="801"/>
    </row>
    <row r="29" ht="12.75" customHeight="1" spans="1:26">
      <c r="A29" s="764"/>
      <c r="B29" s="763"/>
      <c r="C29" s="777"/>
      <c r="D29" s="763"/>
      <c r="E29" s="763"/>
      <c r="F29" s="778"/>
      <c r="G29" s="778"/>
      <c r="H29" s="763"/>
      <c r="I29" s="763"/>
      <c r="J29" s="777"/>
      <c r="K29" s="763"/>
      <c r="L29" s="777"/>
      <c r="M29" s="763"/>
      <c r="N29" s="763"/>
      <c r="O29" s="763"/>
      <c r="P29" s="763"/>
      <c r="Q29" s="763"/>
      <c r="R29" s="763"/>
      <c r="S29" s="763"/>
      <c r="T29" s="777"/>
      <c r="U29" s="763"/>
      <c r="V29" s="763"/>
      <c r="W29" s="763"/>
      <c r="X29" s="763"/>
      <c r="Y29" s="763"/>
      <c r="Z29" s="763"/>
    </row>
    <row r="30" ht="12.75" customHeight="1" spans="1:26">
      <c r="A30" s="764"/>
      <c r="B30" s="763"/>
      <c r="C30" s="772"/>
      <c r="D30" s="767" t="s">
        <v>660</v>
      </c>
      <c r="E30" s="774"/>
      <c r="F30" s="763"/>
      <c r="G30" s="763"/>
      <c r="H30" s="763"/>
      <c r="I30" s="763"/>
      <c r="J30" s="777"/>
      <c r="K30" s="763"/>
      <c r="L30" s="772"/>
      <c r="M30" s="794" t="s">
        <v>661</v>
      </c>
      <c r="N30" s="763"/>
      <c r="O30" s="763"/>
      <c r="P30" s="763"/>
      <c r="Q30" s="763"/>
      <c r="R30" s="763"/>
      <c r="S30" s="763"/>
      <c r="T30" s="772"/>
      <c r="U30" s="767" t="s">
        <v>662</v>
      </c>
      <c r="V30" s="768"/>
      <c r="W30" s="774"/>
      <c r="X30" s="778"/>
      <c r="Y30" s="763"/>
      <c r="Z30" s="763"/>
    </row>
    <row r="31" ht="12.75" customHeight="1" spans="1:26">
      <c r="A31" s="764"/>
      <c r="B31" s="763"/>
      <c r="C31" s="766"/>
      <c r="D31" s="769">
        <f>(管理用利润表!B13+管理用利润表!B14-管理用利润表!B12)/管理用利润表!B5</f>
        <v>0</v>
      </c>
      <c r="E31" s="775"/>
      <c r="F31" s="763"/>
      <c r="G31" s="763"/>
      <c r="H31" s="763"/>
      <c r="I31" s="763"/>
      <c r="J31" s="777"/>
      <c r="K31" s="763"/>
      <c r="L31" s="763"/>
      <c r="M31" s="795"/>
      <c r="N31" s="763"/>
      <c r="O31" s="763"/>
      <c r="P31" s="763"/>
      <c r="Q31" s="763"/>
      <c r="R31" s="763"/>
      <c r="S31" s="763"/>
      <c r="T31" s="766"/>
      <c r="U31" s="799"/>
      <c r="V31" s="800"/>
      <c r="W31" s="801"/>
      <c r="X31" s="778"/>
      <c r="Y31" s="763"/>
      <c r="Z31" s="763"/>
    </row>
    <row r="32" ht="12.75" customHeight="1" spans="1:26">
      <c r="A32" s="764"/>
      <c r="B32" s="763"/>
      <c r="C32" s="777"/>
      <c r="D32" s="763"/>
      <c r="E32" s="766"/>
      <c r="F32" s="763"/>
      <c r="G32" s="763"/>
      <c r="H32" s="763"/>
      <c r="I32" s="763"/>
      <c r="J32" s="777"/>
      <c r="K32" s="763"/>
      <c r="L32" s="763"/>
      <c r="M32" s="763"/>
      <c r="N32" s="763"/>
      <c r="O32" s="763"/>
      <c r="P32" s="763"/>
      <c r="Q32" s="763"/>
      <c r="R32" s="763"/>
      <c r="S32" s="763"/>
      <c r="T32" s="777"/>
      <c r="U32" s="763"/>
      <c r="V32" s="763"/>
      <c r="W32" s="763"/>
      <c r="X32" s="763"/>
      <c r="Y32" s="763"/>
      <c r="Z32" s="763"/>
    </row>
    <row r="33" ht="12.75" customHeight="1" spans="1:26">
      <c r="A33" s="764"/>
      <c r="B33" s="763"/>
      <c r="C33" s="777"/>
      <c r="D33" s="763"/>
      <c r="E33" s="772"/>
      <c r="F33" s="767" t="s">
        <v>663</v>
      </c>
      <c r="G33" s="774"/>
      <c r="H33" s="763"/>
      <c r="I33" s="763"/>
      <c r="J33" s="772"/>
      <c r="K33" s="767" t="s">
        <v>664</v>
      </c>
      <c r="L33" s="768"/>
      <c r="M33" s="774"/>
      <c r="N33" s="763"/>
      <c r="O33" s="763"/>
      <c r="P33" s="763"/>
      <c r="Q33" s="763"/>
      <c r="R33" s="763"/>
      <c r="S33" s="763"/>
      <c r="T33" s="772"/>
      <c r="U33" s="767" t="s">
        <v>665</v>
      </c>
      <c r="V33" s="768"/>
      <c r="W33" s="774"/>
      <c r="X33" s="778"/>
      <c r="Y33" s="763"/>
      <c r="Z33" s="763"/>
    </row>
    <row r="34" ht="12.75" customHeight="1" spans="1:26">
      <c r="A34" s="764"/>
      <c r="B34" s="763"/>
      <c r="C34" s="777"/>
      <c r="D34" s="763"/>
      <c r="E34" s="763"/>
      <c r="F34" s="769">
        <f>管理用利润表!B15/管理用利润表!B5</f>
        <v>0.531863333333333</v>
      </c>
      <c r="G34" s="775"/>
      <c r="H34" s="763"/>
      <c r="I34" s="763"/>
      <c r="J34" s="763"/>
      <c r="K34" s="769">
        <f>(管理用资负表!B25+管理用资负表!B48)/管理用利润表!B5</f>
        <v>0.328606666666667</v>
      </c>
      <c r="L34" s="770"/>
      <c r="M34" s="775"/>
      <c r="N34" s="763"/>
      <c r="O34" s="763"/>
      <c r="P34" s="763"/>
      <c r="Q34" s="763"/>
      <c r="R34" s="763"/>
      <c r="S34" s="763"/>
      <c r="T34" s="763"/>
      <c r="U34" s="799"/>
      <c r="V34" s="800"/>
      <c r="W34" s="801"/>
      <c r="X34" s="778"/>
      <c r="Y34" s="763"/>
      <c r="Z34" s="763"/>
    </row>
    <row r="35" ht="12.75" customHeight="1" spans="1:26">
      <c r="A35" s="764"/>
      <c r="B35" s="763"/>
      <c r="C35" s="777"/>
      <c r="D35" s="763"/>
      <c r="E35" s="763"/>
      <c r="F35" s="763"/>
      <c r="G35" s="763"/>
      <c r="H35" s="763"/>
      <c r="I35" s="763"/>
      <c r="J35" s="763"/>
      <c r="K35" s="763"/>
      <c r="L35" s="766"/>
      <c r="M35" s="763"/>
      <c r="N35" s="763"/>
      <c r="O35" s="763"/>
      <c r="P35" s="763"/>
      <c r="Q35" s="763"/>
      <c r="R35" s="763"/>
      <c r="S35" s="763"/>
      <c r="T35" s="763"/>
      <c r="U35" s="763"/>
      <c r="V35" s="763"/>
      <c r="W35" s="763"/>
      <c r="X35" s="763"/>
      <c r="Y35" s="763"/>
      <c r="Z35" s="763"/>
    </row>
    <row r="36" ht="12.75" customHeight="1" spans="1:26">
      <c r="A36" s="764"/>
      <c r="B36" s="763"/>
      <c r="C36" s="772"/>
      <c r="D36" s="767" t="s">
        <v>630</v>
      </c>
      <c r="E36" s="774"/>
      <c r="F36" s="763"/>
      <c r="G36" s="763"/>
      <c r="H36" s="763"/>
      <c r="I36" s="763"/>
      <c r="J36" s="763"/>
      <c r="K36" s="763"/>
      <c r="L36" s="772"/>
      <c r="M36" s="794" t="s">
        <v>666</v>
      </c>
      <c r="N36" s="763"/>
      <c r="O36" s="763"/>
      <c r="P36" s="763"/>
      <c r="Q36" s="763"/>
      <c r="R36" s="763"/>
      <c r="S36" s="763"/>
      <c r="T36" s="763"/>
      <c r="U36" s="763"/>
      <c r="V36" s="763"/>
      <c r="W36" s="763"/>
      <c r="X36" s="763"/>
      <c r="Y36" s="763"/>
      <c r="Z36" s="763"/>
    </row>
    <row r="37" ht="12.75" customHeight="1" spans="1:26">
      <c r="A37" s="764"/>
      <c r="B37" s="763"/>
      <c r="C37" s="766"/>
      <c r="D37" s="769">
        <f>(管理用利润表!B16-管理用利润表!B17)/管理用利润表!B5</f>
        <v>0</v>
      </c>
      <c r="E37" s="775"/>
      <c r="F37" s="763"/>
      <c r="G37" s="763"/>
      <c r="H37" s="763"/>
      <c r="I37" s="763"/>
      <c r="J37" s="763"/>
      <c r="K37" s="763"/>
      <c r="L37" s="766"/>
      <c r="M37" s="795"/>
      <c r="N37" s="763"/>
      <c r="O37" s="763"/>
      <c r="P37" s="763"/>
      <c r="Q37" s="763"/>
      <c r="R37" s="763"/>
      <c r="S37" s="763"/>
      <c r="T37" s="763"/>
      <c r="U37" s="763"/>
      <c r="V37" s="763"/>
      <c r="W37" s="763"/>
      <c r="X37" s="763"/>
      <c r="Y37" s="763"/>
      <c r="Z37" s="763"/>
    </row>
    <row r="38" ht="12.75" customHeight="1" spans="1:26">
      <c r="A38" s="764"/>
      <c r="B38" s="763"/>
      <c r="C38" s="777"/>
      <c r="D38" s="763"/>
      <c r="E38" s="766"/>
      <c r="F38" s="763"/>
      <c r="G38" s="763"/>
      <c r="H38" s="763"/>
      <c r="I38" s="763"/>
      <c r="J38" s="763"/>
      <c r="K38" s="763"/>
      <c r="L38" s="777"/>
      <c r="M38" s="763"/>
      <c r="N38" s="763"/>
      <c r="O38" s="763"/>
      <c r="P38" s="763"/>
      <c r="Q38" s="763"/>
      <c r="R38" s="763"/>
      <c r="S38" s="763"/>
      <c r="T38" s="763"/>
      <c r="U38" s="763"/>
      <c r="V38" s="763"/>
      <c r="W38" s="763"/>
      <c r="X38" s="763"/>
      <c r="Y38" s="763"/>
      <c r="Z38" s="763"/>
    </row>
    <row r="39" ht="12.75" customHeight="1" spans="1:26">
      <c r="A39" s="764"/>
      <c r="B39" s="763"/>
      <c r="C39" s="777"/>
      <c r="D39" s="763"/>
      <c r="E39" s="772"/>
      <c r="F39" s="767" t="s">
        <v>667</v>
      </c>
      <c r="G39" s="774"/>
      <c r="H39" s="763"/>
      <c r="I39" s="763"/>
      <c r="J39" s="763"/>
      <c r="K39" s="763"/>
      <c r="L39" s="772"/>
      <c r="M39" s="794" t="s">
        <v>668</v>
      </c>
      <c r="N39" s="763"/>
      <c r="O39" s="763"/>
      <c r="P39" s="763"/>
      <c r="Q39" s="763"/>
      <c r="R39" s="763"/>
      <c r="S39" s="763"/>
      <c r="T39" s="763"/>
      <c r="U39" s="763"/>
      <c r="V39" s="763"/>
      <c r="W39" s="763"/>
      <c r="X39" s="763"/>
      <c r="Y39" s="763"/>
      <c r="Z39" s="763"/>
    </row>
    <row r="40" ht="12.75" customHeight="1" spans="1:26">
      <c r="A40" s="764"/>
      <c r="B40" s="763"/>
      <c r="C40" s="777"/>
      <c r="D40" s="763"/>
      <c r="E40" s="763"/>
      <c r="F40" s="769">
        <f>管理用利润表!B18/管理用利润表!B5</f>
        <v>0.531863333333333</v>
      </c>
      <c r="G40" s="775"/>
      <c r="H40" s="763"/>
      <c r="I40" s="763"/>
      <c r="J40" s="763"/>
      <c r="K40" s="763"/>
      <c r="L40" s="763"/>
      <c r="M40" s="795"/>
      <c r="N40" s="763"/>
      <c r="O40" s="763"/>
      <c r="P40" s="763"/>
      <c r="Q40" s="763"/>
      <c r="R40" s="763"/>
      <c r="S40" s="763"/>
      <c r="T40" s="763"/>
      <c r="U40" s="763"/>
      <c r="V40" s="763"/>
      <c r="W40" s="763"/>
      <c r="X40" s="763"/>
      <c r="Y40" s="763"/>
      <c r="Z40" s="763"/>
    </row>
    <row r="41" ht="12.75" customHeight="1" spans="1:26">
      <c r="A41" s="764"/>
      <c r="B41" s="763"/>
      <c r="C41" s="777"/>
      <c r="D41" s="763"/>
      <c r="E41" s="763"/>
      <c r="F41" s="763"/>
      <c r="G41" s="763"/>
      <c r="H41" s="763"/>
      <c r="I41" s="763"/>
      <c r="J41" s="763"/>
      <c r="K41" s="763"/>
      <c r="L41" s="763"/>
      <c r="M41" s="763"/>
      <c r="N41" s="763"/>
      <c r="O41" s="763"/>
      <c r="P41" s="763"/>
      <c r="Q41" s="763"/>
      <c r="R41" s="763"/>
      <c r="S41" s="763"/>
      <c r="T41" s="763"/>
      <c r="U41" s="763"/>
      <c r="V41" s="763"/>
      <c r="W41" s="763"/>
      <c r="X41" s="763"/>
      <c r="Y41" s="763"/>
      <c r="Z41" s="763"/>
    </row>
    <row r="42" ht="12.75" customHeight="1" spans="1:26">
      <c r="A42" s="764"/>
      <c r="B42" s="763"/>
      <c r="C42" s="772"/>
      <c r="D42" s="767" t="s">
        <v>669</v>
      </c>
      <c r="E42" s="774"/>
      <c r="F42" s="763"/>
      <c r="G42" s="763"/>
      <c r="H42" s="763"/>
      <c r="I42" s="763"/>
      <c r="J42" s="763"/>
      <c r="K42" s="763"/>
      <c r="L42" s="763"/>
      <c r="M42" s="763"/>
      <c r="N42" s="763"/>
      <c r="O42" s="763"/>
      <c r="P42" s="763"/>
      <c r="Q42" s="763"/>
      <c r="R42" s="763"/>
      <c r="S42" s="763"/>
      <c r="T42" s="763"/>
      <c r="U42" s="763"/>
      <c r="V42" s="763"/>
      <c r="W42" s="763"/>
      <c r="X42" s="763"/>
      <c r="Y42" s="763"/>
      <c r="Z42" s="763"/>
    </row>
    <row r="43" ht="12.75" customHeight="1" spans="1:26">
      <c r="A43" s="764"/>
      <c r="B43" s="763"/>
      <c r="C43" s="763"/>
      <c r="D43" s="769">
        <f>管理用利润表!B19/管理用利润表!B5</f>
        <v>0.00222</v>
      </c>
      <c r="E43" s="775"/>
      <c r="F43" s="763"/>
      <c r="G43" s="763"/>
      <c r="H43" s="763"/>
      <c r="I43" s="763"/>
      <c r="J43" s="763"/>
      <c r="K43" s="763"/>
      <c r="L43" s="763"/>
      <c r="M43" s="763"/>
      <c r="N43" s="763"/>
      <c r="O43" s="763"/>
      <c r="P43" s="763"/>
      <c r="Q43" s="763"/>
      <c r="R43" s="763"/>
      <c r="S43" s="763"/>
      <c r="T43" s="763"/>
      <c r="U43" s="763"/>
      <c r="V43" s="763"/>
      <c r="W43" s="763"/>
      <c r="X43" s="763"/>
      <c r="Y43" s="763"/>
      <c r="Z43" s="763"/>
    </row>
  </sheetData>
  <mergeCells count="59">
    <mergeCell ref="A1:Z1"/>
    <mergeCell ref="M5:O5"/>
    <mergeCell ref="M6:O6"/>
    <mergeCell ref="F9:J9"/>
    <mergeCell ref="S9:U9"/>
    <mergeCell ref="F10:J10"/>
    <mergeCell ref="S10:U10"/>
    <mergeCell ref="B13:F13"/>
    <mergeCell ref="I13:M13"/>
    <mergeCell ref="O13:S13"/>
    <mergeCell ref="U13:W13"/>
    <mergeCell ref="B14:F14"/>
    <mergeCell ref="I14:M14"/>
    <mergeCell ref="O14:S14"/>
    <mergeCell ref="U14:W14"/>
    <mergeCell ref="E17:G17"/>
    <mergeCell ref="K17:M17"/>
    <mergeCell ref="Q17:S17"/>
    <mergeCell ref="W17:Y17"/>
    <mergeCell ref="E18:G18"/>
    <mergeCell ref="K18:M18"/>
    <mergeCell ref="Q18:S18"/>
    <mergeCell ref="W18:Y18"/>
    <mergeCell ref="Q21:S21"/>
    <mergeCell ref="W21:Y21"/>
    <mergeCell ref="Q22:S22"/>
    <mergeCell ref="W22:Y22"/>
    <mergeCell ref="D24:E24"/>
    <mergeCell ref="S24:U24"/>
    <mergeCell ref="D25:E25"/>
    <mergeCell ref="S25:U25"/>
    <mergeCell ref="F27:G27"/>
    <mergeCell ref="S27:U27"/>
    <mergeCell ref="F28:G28"/>
    <mergeCell ref="S28:U28"/>
    <mergeCell ref="D30:E30"/>
    <mergeCell ref="D31:E31"/>
    <mergeCell ref="F33:G33"/>
    <mergeCell ref="K33:M33"/>
    <mergeCell ref="F34:G34"/>
    <mergeCell ref="K34:M34"/>
    <mergeCell ref="D36:E36"/>
    <mergeCell ref="D37:E37"/>
    <mergeCell ref="F39:G39"/>
    <mergeCell ref="F40:G40"/>
    <mergeCell ref="D42:E42"/>
    <mergeCell ref="D43:E43"/>
    <mergeCell ref="M21:M22"/>
    <mergeCell ref="M24:M25"/>
    <mergeCell ref="M27:M28"/>
    <mergeCell ref="M30:M31"/>
    <mergeCell ref="M36:M37"/>
    <mergeCell ref="M39:M40"/>
    <mergeCell ref="D21:E22"/>
    <mergeCell ref="U33:W34"/>
    <mergeCell ref="Y24:Z25"/>
    <mergeCell ref="Y27:Z28"/>
    <mergeCell ref="U30:W31"/>
    <mergeCell ref="G21:H22"/>
  </mergeCells>
  <printOptions horizontalCentered="1"/>
  <pageMargins left="0.55" right="0.55" top="0.588888888888889" bottom="0.588888888888889" header="0.309027777777778" footer="0.309027777777778"/>
  <pageSetup paperSize="256" scale="85" orientation="landscape" horizontalDpi="200"/>
  <headerFooter alignWithMargins="0" scaleWithDoc="0"/>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IV185"/>
  <sheetViews>
    <sheetView showGridLines="0" topLeftCell="A17" workbookViewId="0">
      <selection activeCell="G9" sqref="G9"/>
    </sheetView>
  </sheetViews>
  <sheetFormatPr defaultColWidth="8" defaultRowHeight="17.25"/>
  <cols>
    <col min="1" max="1" width="10.375" style="731" customWidth="1"/>
    <col min="2" max="2" width="14.875" style="732" customWidth="1"/>
    <col min="3" max="3" width="14.625" style="731" customWidth="1"/>
    <col min="4" max="4" width="17.75" style="731" customWidth="1"/>
    <col min="5" max="5" width="16.5" style="731" customWidth="1"/>
    <col min="6" max="32" width="9" style="731" customWidth="1"/>
    <col min="33" max="224" width="8" style="731" customWidth="1"/>
    <col min="225" max="247" width="9" style="731" customWidth="1"/>
    <col min="248" max="256" width="8" style="553"/>
  </cols>
  <sheetData>
    <row r="1" ht="29.25" spans="1:5">
      <c r="A1" s="733" t="s">
        <v>670</v>
      </c>
      <c r="B1" s="733"/>
      <c r="C1" s="733"/>
      <c r="D1" s="733"/>
      <c r="E1" s="733"/>
    </row>
    <row r="2" ht="17.1" customHeight="1" spans="1:256">
      <c r="A2" s="734"/>
      <c r="B2" s="735"/>
      <c r="C2" s="734"/>
      <c r="D2" s="735" t="s">
        <v>671</v>
      </c>
      <c r="E2" s="736" t="s">
        <v>198</v>
      </c>
      <c r="F2" s="734"/>
      <c r="G2" s="734"/>
      <c r="H2" s="734"/>
      <c r="I2" s="734"/>
      <c r="J2" s="734"/>
      <c r="K2" s="734"/>
      <c r="L2" s="734"/>
      <c r="M2" s="734"/>
      <c r="N2" s="734"/>
      <c r="O2" s="734"/>
      <c r="P2" s="734"/>
      <c r="Q2" s="734"/>
      <c r="R2" s="734"/>
      <c r="S2" s="734"/>
      <c r="T2" s="734"/>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c r="AT2" s="734"/>
      <c r="AU2" s="734"/>
      <c r="AV2" s="734"/>
      <c r="AW2" s="734"/>
      <c r="AX2" s="734"/>
      <c r="AY2" s="734"/>
      <c r="AZ2" s="734"/>
      <c r="BA2" s="734"/>
      <c r="BB2" s="734"/>
      <c r="BC2" s="734"/>
      <c r="BD2" s="734"/>
      <c r="BE2" s="734"/>
      <c r="BF2" s="734"/>
      <c r="BG2" s="734"/>
      <c r="BH2" s="734"/>
      <c r="BI2" s="734"/>
      <c r="BJ2" s="734"/>
      <c r="BK2" s="734"/>
      <c r="BL2" s="734"/>
      <c r="BM2" s="734"/>
      <c r="BN2" s="734"/>
      <c r="BO2" s="734"/>
      <c r="BP2" s="734"/>
      <c r="BQ2" s="734"/>
      <c r="BR2" s="734"/>
      <c r="BS2" s="734"/>
      <c r="BT2" s="734"/>
      <c r="BU2" s="734"/>
      <c r="BV2" s="734"/>
      <c r="BW2" s="734"/>
      <c r="BX2" s="734"/>
      <c r="BY2" s="734"/>
      <c r="BZ2" s="734"/>
      <c r="CA2" s="734"/>
      <c r="CB2" s="734"/>
      <c r="CC2" s="734"/>
      <c r="CD2" s="734"/>
      <c r="CE2" s="734"/>
      <c r="CF2" s="734"/>
      <c r="CG2" s="734"/>
      <c r="CH2" s="734"/>
      <c r="CI2" s="734"/>
      <c r="CJ2" s="734"/>
      <c r="CK2" s="734"/>
      <c r="CL2" s="734"/>
      <c r="CM2" s="734"/>
      <c r="CN2" s="734"/>
      <c r="CO2" s="734"/>
      <c r="CP2" s="734"/>
      <c r="CQ2" s="734"/>
      <c r="CR2" s="734"/>
      <c r="CS2" s="734"/>
      <c r="CT2" s="734"/>
      <c r="CU2" s="734"/>
      <c r="CV2" s="734"/>
      <c r="CW2" s="734"/>
      <c r="CX2" s="734"/>
      <c r="CY2" s="734"/>
      <c r="CZ2" s="734"/>
      <c r="DA2" s="734"/>
      <c r="DB2" s="734"/>
      <c r="DC2" s="734"/>
      <c r="DD2" s="734"/>
      <c r="DE2" s="734"/>
      <c r="DF2" s="734"/>
      <c r="DG2" s="734"/>
      <c r="DH2" s="734"/>
      <c r="DI2" s="734"/>
      <c r="DJ2" s="734"/>
      <c r="DK2" s="734"/>
      <c r="DL2" s="734"/>
      <c r="DM2" s="734"/>
      <c r="DN2" s="734"/>
      <c r="DO2" s="734"/>
      <c r="DP2" s="734"/>
      <c r="DQ2" s="734"/>
      <c r="DR2" s="734"/>
      <c r="DS2" s="734"/>
      <c r="DT2" s="734"/>
      <c r="DU2" s="734"/>
      <c r="DV2" s="734"/>
      <c r="DW2" s="734"/>
      <c r="DX2" s="734"/>
      <c r="DY2" s="734"/>
      <c r="DZ2" s="734"/>
      <c r="EA2" s="734"/>
      <c r="EB2" s="734"/>
      <c r="EC2" s="734"/>
      <c r="ED2" s="734"/>
      <c r="EE2" s="734"/>
      <c r="EF2" s="734"/>
      <c r="EG2" s="734"/>
      <c r="EH2" s="734"/>
      <c r="EI2" s="734"/>
      <c r="EJ2" s="734"/>
      <c r="EK2" s="734"/>
      <c r="EL2" s="734"/>
      <c r="EM2" s="734"/>
      <c r="EN2" s="734"/>
      <c r="EO2" s="734"/>
      <c r="EP2" s="734"/>
      <c r="EQ2" s="734"/>
      <c r="ER2" s="734"/>
      <c r="ES2" s="734"/>
      <c r="ET2" s="734"/>
      <c r="EU2" s="734"/>
      <c r="EV2" s="734"/>
      <c r="EW2" s="734"/>
      <c r="EX2" s="734"/>
      <c r="EY2" s="734"/>
      <c r="EZ2" s="734"/>
      <c r="FA2" s="734"/>
      <c r="FB2" s="734"/>
      <c r="FC2" s="734"/>
      <c r="FD2" s="734"/>
      <c r="FE2" s="734"/>
      <c r="FF2" s="734"/>
      <c r="FG2" s="734"/>
      <c r="FH2" s="734"/>
      <c r="FI2" s="734"/>
      <c r="FJ2" s="734"/>
      <c r="FK2" s="734"/>
      <c r="FL2" s="734"/>
      <c r="FM2" s="734"/>
      <c r="FN2" s="734"/>
      <c r="FO2" s="734"/>
      <c r="FP2" s="734"/>
      <c r="FQ2" s="734"/>
      <c r="FR2" s="734"/>
      <c r="FS2" s="734"/>
      <c r="FT2" s="734"/>
      <c r="FU2" s="734"/>
      <c r="FV2" s="734"/>
      <c r="FW2" s="734"/>
      <c r="FX2" s="734"/>
      <c r="FY2" s="734"/>
      <c r="FZ2" s="734"/>
      <c r="GA2" s="734"/>
      <c r="GB2" s="734"/>
      <c r="GC2" s="734"/>
      <c r="GD2" s="734"/>
      <c r="GE2" s="734"/>
      <c r="GF2" s="734"/>
      <c r="GG2" s="734"/>
      <c r="GH2" s="734"/>
      <c r="GI2" s="734"/>
      <c r="GJ2" s="734"/>
      <c r="GK2" s="734"/>
      <c r="GL2" s="734"/>
      <c r="GM2" s="734"/>
      <c r="GN2" s="734"/>
      <c r="GO2" s="734"/>
      <c r="GP2" s="734"/>
      <c r="GQ2" s="734"/>
      <c r="GR2" s="734"/>
      <c r="GS2" s="734"/>
      <c r="GT2" s="734"/>
      <c r="GU2" s="734"/>
      <c r="GV2" s="734"/>
      <c r="GW2" s="734"/>
      <c r="GX2" s="734"/>
      <c r="GY2" s="734"/>
      <c r="GZ2" s="734"/>
      <c r="HA2" s="734"/>
      <c r="HB2" s="734"/>
      <c r="HC2" s="734"/>
      <c r="HD2" s="734"/>
      <c r="HE2" s="734"/>
      <c r="HF2" s="734"/>
      <c r="HG2" s="734"/>
      <c r="HH2" s="734"/>
      <c r="HI2" s="734"/>
      <c r="HJ2" s="734"/>
      <c r="HK2" s="734"/>
      <c r="HL2" s="734"/>
      <c r="HM2" s="734"/>
      <c r="HN2" s="734"/>
      <c r="HO2" s="734"/>
      <c r="HP2" s="734"/>
      <c r="HQ2" s="734"/>
      <c r="HR2" s="734"/>
      <c r="HS2" s="734"/>
      <c r="HT2" s="734"/>
      <c r="HU2" s="734"/>
      <c r="HV2" s="734"/>
      <c r="HW2" s="734"/>
      <c r="HX2" s="734"/>
      <c r="HY2" s="734"/>
      <c r="HZ2" s="734"/>
      <c r="IA2" s="734"/>
      <c r="IB2" s="734"/>
      <c r="IC2" s="734"/>
      <c r="ID2" s="734"/>
      <c r="IE2" s="734"/>
      <c r="IF2" s="734"/>
      <c r="IG2" s="734"/>
      <c r="IH2" s="734"/>
      <c r="II2" s="734"/>
      <c r="IJ2" s="734"/>
      <c r="IK2" s="734"/>
      <c r="IL2" s="734"/>
      <c r="IM2" s="734"/>
      <c r="IN2" s="758"/>
      <c r="IO2" s="758"/>
      <c r="IP2" s="758"/>
      <c r="IQ2" s="758"/>
      <c r="IR2" s="758"/>
      <c r="IS2" s="758"/>
      <c r="IT2" s="758"/>
      <c r="IU2" s="758"/>
      <c r="IV2" s="758"/>
    </row>
    <row r="3" s="749" customFormat="1" ht="17.1" customHeight="1" spans="1:256">
      <c r="A3" s="750" t="s">
        <v>672</v>
      </c>
      <c r="B3" s="751" t="s">
        <v>673</v>
      </c>
      <c r="C3" s="751" t="s">
        <v>674</v>
      </c>
      <c r="D3" s="751" t="s">
        <v>675</v>
      </c>
      <c r="E3" s="751" t="s">
        <v>676</v>
      </c>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2"/>
      <c r="AJ3" s="732"/>
      <c r="AK3" s="732"/>
      <c r="AL3" s="732"/>
      <c r="AM3" s="732"/>
      <c r="AN3" s="732"/>
      <c r="AO3" s="732"/>
      <c r="AP3" s="732"/>
      <c r="AQ3" s="732"/>
      <c r="AR3" s="732"/>
      <c r="AS3" s="732"/>
      <c r="AT3" s="732"/>
      <c r="AU3" s="732"/>
      <c r="AV3" s="732"/>
      <c r="AW3" s="732"/>
      <c r="AX3" s="732"/>
      <c r="AY3" s="732"/>
      <c r="AZ3" s="732"/>
      <c r="BA3" s="732"/>
      <c r="BB3" s="732"/>
      <c r="BC3" s="732"/>
      <c r="BD3" s="732"/>
      <c r="BE3" s="732"/>
      <c r="BF3" s="732"/>
      <c r="BG3" s="732"/>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c r="CK3" s="732"/>
      <c r="CL3" s="732"/>
      <c r="CM3" s="732"/>
      <c r="CN3" s="732"/>
      <c r="CO3" s="732"/>
      <c r="CP3" s="732"/>
      <c r="CQ3" s="732"/>
      <c r="CR3" s="732"/>
      <c r="CS3" s="732"/>
      <c r="CT3" s="732"/>
      <c r="CU3" s="732"/>
      <c r="CV3" s="732"/>
      <c r="CW3" s="732"/>
      <c r="CX3" s="732"/>
      <c r="CY3" s="732"/>
      <c r="CZ3" s="732"/>
      <c r="DA3" s="732"/>
      <c r="DB3" s="732"/>
      <c r="DC3" s="732"/>
      <c r="DD3" s="732"/>
      <c r="DE3" s="732"/>
      <c r="DF3" s="732"/>
      <c r="DG3" s="732"/>
      <c r="DH3" s="732"/>
      <c r="DI3" s="732"/>
      <c r="DJ3" s="732"/>
      <c r="DK3" s="732"/>
      <c r="DL3" s="732"/>
      <c r="DM3" s="732"/>
      <c r="DN3" s="732"/>
      <c r="DO3" s="732"/>
      <c r="DP3" s="732"/>
      <c r="DQ3" s="732"/>
      <c r="DR3" s="732"/>
      <c r="DS3" s="732"/>
      <c r="DT3" s="732"/>
      <c r="DU3" s="732"/>
      <c r="DV3" s="732"/>
      <c r="DW3" s="732"/>
      <c r="DX3" s="732"/>
      <c r="DY3" s="732"/>
      <c r="DZ3" s="732"/>
      <c r="EA3" s="732"/>
      <c r="EB3" s="732"/>
      <c r="EC3" s="732"/>
      <c r="ED3" s="732"/>
      <c r="EE3" s="732"/>
      <c r="EF3" s="732"/>
      <c r="EG3" s="732"/>
      <c r="EH3" s="732"/>
      <c r="EI3" s="732"/>
      <c r="EJ3" s="732"/>
      <c r="EK3" s="732"/>
      <c r="EL3" s="732"/>
      <c r="EM3" s="732"/>
      <c r="EN3" s="732"/>
      <c r="EO3" s="732"/>
      <c r="EP3" s="732"/>
      <c r="EQ3" s="732"/>
      <c r="ER3" s="732"/>
      <c r="ES3" s="732"/>
      <c r="ET3" s="732"/>
      <c r="EU3" s="732"/>
      <c r="EV3" s="732"/>
      <c r="EW3" s="732"/>
      <c r="EX3" s="732"/>
      <c r="EY3" s="732"/>
      <c r="EZ3" s="732"/>
      <c r="FA3" s="732"/>
      <c r="FB3" s="732"/>
      <c r="FC3" s="732"/>
      <c r="FD3" s="732"/>
      <c r="FE3" s="732"/>
      <c r="FF3" s="732"/>
      <c r="FG3" s="732"/>
      <c r="FH3" s="732"/>
      <c r="FI3" s="732"/>
      <c r="FJ3" s="732"/>
      <c r="FK3" s="732"/>
      <c r="FL3" s="732"/>
      <c r="FM3" s="732"/>
      <c r="FN3" s="732"/>
      <c r="FO3" s="732"/>
      <c r="FP3" s="732"/>
      <c r="FQ3" s="732"/>
      <c r="FR3" s="732"/>
      <c r="FS3" s="732"/>
      <c r="FT3" s="732"/>
      <c r="FU3" s="732"/>
      <c r="FV3" s="732"/>
      <c r="FW3" s="732"/>
      <c r="FX3" s="732"/>
      <c r="FY3" s="732"/>
      <c r="FZ3" s="732"/>
      <c r="GA3" s="732"/>
      <c r="GB3" s="732"/>
      <c r="GC3" s="732"/>
      <c r="GD3" s="732"/>
      <c r="GE3" s="732"/>
      <c r="GF3" s="732"/>
      <c r="GG3" s="732"/>
      <c r="GH3" s="732"/>
      <c r="GI3" s="732"/>
      <c r="GJ3" s="732"/>
      <c r="GK3" s="732"/>
      <c r="GL3" s="732"/>
      <c r="GM3" s="732"/>
      <c r="GN3" s="732"/>
      <c r="GO3" s="732"/>
      <c r="GP3" s="732"/>
      <c r="GQ3" s="732"/>
      <c r="GR3" s="732"/>
      <c r="GS3" s="732"/>
      <c r="GT3" s="732"/>
      <c r="GU3" s="732"/>
      <c r="GV3" s="732"/>
      <c r="GW3" s="732"/>
      <c r="GX3" s="732"/>
      <c r="GY3" s="732"/>
      <c r="GZ3" s="732"/>
      <c r="HA3" s="732"/>
      <c r="HB3" s="732"/>
      <c r="HC3" s="732"/>
      <c r="HD3" s="732"/>
      <c r="HE3" s="732"/>
      <c r="HF3" s="732"/>
      <c r="HG3" s="732"/>
      <c r="HH3" s="732"/>
      <c r="HI3" s="732"/>
      <c r="HJ3" s="732"/>
      <c r="HK3" s="732"/>
      <c r="HL3" s="732"/>
      <c r="HM3" s="732"/>
      <c r="HN3" s="732"/>
      <c r="HO3" s="732"/>
      <c r="HP3" s="732"/>
      <c r="HQ3" s="732"/>
      <c r="HR3" s="732"/>
      <c r="HS3" s="732"/>
      <c r="HT3" s="732"/>
      <c r="HU3" s="732"/>
      <c r="HV3" s="732"/>
      <c r="HW3" s="732"/>
      <c r="HX3" s="732"/>
      <c r="HY3" s="732"/>
      <c r="HZ3" s="732"/>
      <c r="IA3" s="732"/>
      <c r="IB3" s="732"/>
      <c r="IC3" s="732"/>
      <c r="ID3" s="732"/>
      <c r="IE3" s="732"/>
      <c r="IF3" s="732"/>
      <c r="IG3" s="732"/>
      <c r="IH3" s="732"/>
      <c r="II3" s="732"/>
      <c r="IJ3" s="732"/>
      <c r="IK3" s="732"/>
      <c r="IL3" s="732"/>
      <c r="IM3" s="732"/>
      <c r="IN3" s="732"/>
      <c r="IO3" s="732"/>
      <c r="IP3" s="732"/>
      <c r="IQ3" s="732"/>
      <c r="IR3" s="732"/>
      <c r="IS3" s="732"/>
      <c r="IT3" s="732"/>
      <c r="IU3" s="732"/>
      <c r="IV3" s="732"/>
    </row>
    <row r="4" ht="17.1" customHeight="1" spans="1:5">
      <c r="A4" s="750" t="s">
        <v>677</v>
      </c>
      <c r="B4" s="752">
        <f>利润表!B5</f>
        <v>300000</v>
      </c>
      <c r="C4" s="752">
        <f>利润表!C5</f>
        <v>160000</v>
      </c>
      <c r="D4" s="753">
        <f t="shared" ref="D4:D10" si="0">B4-C4</f>
        <v>140000</v>
      </c>
      <c r="E4" s="754">
        <f t="shared" ref="E4:E10" si="1">D4/C4</f>
        <v>0.875</v>
      </c>
    </row>
    <row r="5" ht="17.1" customHeight="1" spans="1:5">
      <c r="A5" s="750" t="s">
        <v>678</v>
      </c>
      <c r="B5" s="752">
        <f>利润表!B6</f>
        <v>55552</v>
      </c>
      <c r="C5" s="752">
        <f>利润表!C6</f>
        <v>34441</v>
      </c>
      <c r="D5" s="753">
        <f t="shared" si="0"/>
        <v>21111</v>
      </c>
      <c r="E5" s="754">
        <f t="shared" si="1"/>
        <v>0.612961296129613</v>
      </c>
    </row>
    <row r="6" ht="17.1" customHeight="1" spans="1:5">
      <c r="A6" s="750" t="s">
        <v>679</v>
      </c>
      <c r="B6" s="752">
        <f>利润表!B8+利润表!B9+利润表!B10</f>
        <v>83555</v>
      </c>
      <c r="C6" s="752">
        <f>利润表!C8+利润表!C9+利润表!C10</f>
        <v>68055</v>
      </c>
      <c r="D6" s="753">
        <f t="shared" si="0"/>
        <v>15500</v>
      </c>
      <c r="E6" s="754">
        <f t="shared" si="1"/>
        <v>0.227756961281317</v>
      </c>
    </row>
    <row r="7" ht="17.1" customHeight="1" spans="1:5">
      <c r="A7" s="750" t="s">
        <v>680</v>
      </c>
      <c r="B7" s="752">
        <f>利润表!B7</f>
        <v>1334</v>
      </c>
      <c r="C7" s="752">
        <f>利润表!C7</f>
        <v>424</v>
      </c>
      <c r="D7" s="753">
        <f t="shared" si="0"/>
        <v>910</v>
      </c>
      <c r="E7" s="754">
        <f t="shared" si="1"/>
        <v>2.14622641509434</v>
      </c>
    </row>
    <row r="8" ht="17.1" customHeight="1" spans="1:5">
      <c r="A8" s="750" t="s">
        <v>625</v>
      </c>
      <c r="B8" s="755">
        <f>IF($B$4=0,0,B5/$B$4)</f>
        <v>0.185173333333333</v>
      </c>
      <c r="C8" s="755">
        <f>IF($C$4=0,0,C5/$C$4)</f>
        <v>0.21525625</v>
      </c>
      <c r="D8" s="756">
        <f t="shared" si="0"/>
        <v>-0.0300829166666667</v>
      </c>
      <c r="E8" s="754">
        <f t="shared" si="1"/>
        <v>-0.13975397539754</v>
      </c>
    </row>
    <row r="9" ht="17.1" customHeight="1" spans="1:5">
      <c r="A9" s="750" t="s">
        <v>681</v>
      </c>
      <c r="B9" s="755">
        <f>IF($B$4=0,0,B6/$B$4)</f>
        <v>0.278516666666667</v>
      </c>
      <c r="C9" s="755">
        <f>IF($C$4=0,0,C6/$C$4)</f>
        <v>0.42534375</v>
      </c>
      <c r="D9" s="756">
        <f t="shared" si="0"/>
        <v>-0.146827083333333</v>
      </c>
      <c r="E9" s="754">
        <f t="shared" si="1"/>
        <v>-0.345196287316631</v>
      </c>
    </row>
    <row r="10" ht="17.1" customHeight="1" spans="1:5">
      <c r="A10" s="750" t="s">
        <v>682</v>
      </c>
      <c r="B10" s="755">
        <f>IF($B$4=0,0,B7/$B$4)</f>
        <v>0.00444666666666667</v>
      </c>
      <c r="C10" s="755">
        <f>IF($C$4=0,0,C7/$C$4)</f>
        <v>0.00265</v>
      </c>
      <c r="D10" s="756">
        <f t="shared" si="0"/>
        <v>0.00179666666666667</v>
      </c>
      <c r="E10" s="754">
        <f t="shared" si="1"/>
        <v>0.677987421383648</v>
      </c>
    </row>
    <row r="11" ht="17.1" customHeight="1" spans="1:5">
      <c r="A11" s="757" t="s">
        <v>683</v>
      </c>
      <c r="E11" s="744"/>
    </row>
    <row r="12" ht="17.1" customHeight="1" spans="2:5">
      <c r="B12" s="731"/>
      <c r="D12" s="744"/>
      <c r="E12" s="743"/>
    </row>
    <row r="13" ht="17.1" customHeight="1" spans="2:5">
      <c r="B13" s="731"/>
      <c r="D13" s="744"/>
      <c r="E13" s="743"/>
    </row>
    <row r="14" ht="17.1" customHeight="1" spans="2:5">
      <c r="B14" s="731"/>
      <c r="D14" s="744"/>
      <c r="E14" s="743"/>
    </row>
    <row r="15" ht="17.1" customHeight="1" spans="5:5">
      <c r="E15" s="744"/>
    </row>
    <row r="16" ht="17.1" customHeight="1" spans="5:5">
      <c r="E16" s="744"/>
    </row>
    <row r="17" ht="17.1" customHeight="1" spans="5:5">
      <c r="E17" s="744"/>
    </row>
    <row r="18" ht="17.1" customHeight="1" spans="5:5">
      <c r="E18" s="744"/>
    </row>
    <row r="19" ht="17.1" customHeight="1" spans="5:5">
      <c r="E19" s="744"/>
    </row>
    <row r="20" ht="17.1" customHeight="1" spans="5:5">
      <c r="E20" s="744"/>
    </row>
    <row r="21" ht="17.1" customHeight="1" spans="5:5">
      <c r="E21" s="744"/>
    </row>
    <row r="22" ht="17.1" customHeight="1" spans="5:5">
      <c r="E22" s="744"/>
    </row>
    <row r="23" ht="17.1" customHeight="1" spans="5:5">
      <c r="E23" s="744"/>
    </row>
    <row r="24" ht="17.1" customHeight="1" spans="5:5">
      <c r="E24" s="744"/>
    </row>
    <row r="25" ht="17.1" customHeight="1" spans="5:5">
      <c r="E25" s="744"/>
    </row>
    <row r="26" ht="17.1" customHeight="1" spans="5:5">
      <c r="E26" s="744"/>
    </row>
    <row r="27" ht="17.1" customHeight="1" spans="5:5">
      <c r="E27" s="744"/>
    </row>
    <row r="28" ht="17.1" customHeight="1" spans="1:5">
      <c r="A28" s="757" t="s">
        <v>684</v>
      </c>
      <c r="E28" s="744"/>
    </row>
    <row r="29" ht="17.1" customHeight="1" spans="5:5">
      <c r="E29" s="744"/>
    </row>
    <row r="30" ht="17.1" customHeight="1" spans="5:5">
      <c r="E30" s="744"/>
    </row>
    <row r="31" ht="17.1" customHeight="1" spans="5:5">
      <c r="E31" s="744"/>
    </row>
    <row r="32" ht="17.1" customHeight="1" spans="5:5">
      <c r="E32" s="744"/>
    </row>
    <row r="33" ht="17.1" customHeight="1" spans="5:5">
      <c r="E33" s="744"/>
    </row>
    <row r="34" ht="17.1" customHeight="1" spans="5:5">
      <c r="E34" s="744"/>
    </row>
    <row r="35" ht="17.1" customHeight="1" spans="5:5">
      <c r="E35" s="744"/>
    </row>
    <row r="36" ht="17.1" customHeight="1" spans="5:5">
      <c r="E36" s="744"/>
    </row>
    <row r="37" ht="17.1" customHeight="1" spans="5:5">
      <c r="E37" s="744"/>
    </row>
    <row r="38" ht="17.1" customHeight="1" spans="5:5">
      <c r="E38" s="744"/>
    </row>
    <row r="39" ht="17.1" customHeight="1" spans="5:5">
      <c r="E39" s="744"/>
    </row>
    <row r="40" ht="17.1" customHeight="1" spans="5:5">
      <c r="E40" s="744"/>
    </row>
    <row r="41" ht="17.1" customHeight="1" spans="5:5">
      <c r="E41" s="744"/>
    </row>
    <row r="42" ht="17.1" customHeight="1" spans="5:5">
      <c r="E42" s="744"/>
    </row>
    <row r="43" ht="17.1" customHeight="1" spans="5:5">
      <c r="E43" s="744"/>
    </row>
    <row r="44" spans="5:5">
      <c r="E44" s="744"/>
    </row>
    <row r="45" spans="5:5">
      <c r="E45" s="744"/>
    </row>
    <row r="46" spans="5:5">
      <c r="E46" s="744"/>
    </row>
    <row r="47" spans="5:5">
      <c r="E47" s="744"/>
    </row>
    <row r="48" spans="5:5">
      <c r="E48" s="744"/>
    </row>
    <row r="49" spans="5:5">
      <c r="E49" s="744"/>
    </row>
    <row r="50" spans="5:5">
      <c r="E50" s="744"/>
    </row>
    <row r="51" spans="5:5">
      <c r="E51" s="744"/>
    </row>
    <row r="52" spans="5:5">
      <c r="E52" s="744"/>
    </row>
    <row r="53" spans="5:5">
      <c r="E53" s="744"/>
    </row>
    <row r="54" spans="5:5">
      <c r="E54" s="744"/>
    </row>
    <row r="55" spans="5:5">
      <c r="E55" s="744"/>
    </row>
    <row r="56" spans="5:5">
      <c r="E56" s="744"/>
    </row>
    <row r="57" spans="5:5">
      <c r="E57" s="744"/>
    </row>
    <row r="58" spans="5:5">
      <c r="E58" s="744"/>
    </row>
    <row r="59" spans="5:5">
      <c r="E59" s="744"/>
    </row>
    <row r="60" spans="5:5">
      <c r="E60" s="744"/>
    </row>
    <row r="61" spans="5:5">
      <c r="E61" s="744"/>
    </row>
    <row r="62" spans="5:5">
      <c r="E62" s="744"/>
    </row>
    <row r="63" spans="5:5">
      <c r="E63" s="744"/>
    </row>
    <row r="64" spans="5:5">
      <c r="E64" s="744"/>
    </row>
    <row r="65" spans="5:5">
      <c r="E65" s="744"/>
    </row>
    <row r="66" spans="5:5">
      <c r="E66" s="744"/>
    </row>
    <row r="67" spans="5:5">
      <c r="E67" s="744"/>
    </row>
    <row r="68" spans="5:5">
      <c r="E68" s="744"/>
    </row>
    <row r="69" spans="5:5">
      <c r="E69" s="744"/>
    </row>
    <row r="70" spans="5:5">
      <c r="E70" s="744"/>
    </row>
    <row r="71" spans="5:5">
      <c r="E71" s="744"/>
    </row>
    <row r="72" spans="5:5">
      <c r="E72" s="744"/>
    </row>
    <row r="73" spans="5:5">
      <c r="E73" s="744"/>
    </row>
    <row r="74" spans="5:5">
      <c r="E74" s="744"/>
    </row>
    <row r="75" spans="5:5">
      <c r="E75" s="744"/>
    </row>
    <row r="76" spans="5:5">
      <c r="E76" s="744"/>
    </row>
    <row r="77" spans="5:5">
      <c r="E77" s="744"/>
    </row>
    <row r="78" spans="5:5">
      <c r="E78" s="744"/>
    </row>
    <row r="79" spans="5:5">
      <c r="E79" s="744"/>
    </row>
    <row r="80" spans="5:5">
      <c r="E80" s="744"/>
    </row>
    <row r="81" spans="5:5">
      <c r="E81" s="744"/>
    </row>
    <row r="82" spans="5:5">
      <c r="E82" s="744"/>
    </row>
    <row r="83" spans="5:5">
      <c r="E83" s="744"/>
    </row>
    <row r="84" spans="5:5">
      <c r="E84" s="744"/>
    </row>
    <row r="85" spans="5:5">
      <c r="E85" s="744"/>
    </row>
    <row r="86" spans="5:5">
      <c r="E86" s="744"/>
    </row>
    <row r="87" spans="5:5">
      <c r="E87" s="744"/>
    </row>
    <row r="88" spans="5:5">
      <c r="E88" s="744"/>
    </row>
    <row r="89" spans="5:5">
      <c r="E89" s="744"/>
    </row>
    <row r="90" spans="5:5">
      <c r="E90" s="744"/>
    </row>
    <row r="91" spans="5:5">
      <c r="E91" s="744"/>
    </row>
    <row r="92" spans="5:5">
      <c r="E92" s="744"/>
    </row>
    <row r="93" spans="5:5">
      <c r="E93" s="744"/>
    </row>
    <row r="94" spans="5:5">
      <c r="E94" s="744"/>
    </row>
    <row r="95" spans="5:5">
      <c r="E95" s="744"/>
    </row>
    <row r="96" spans="5:5">
      <c r="E96" s="744"/>
    </row>
    <row r="97" spans="5:5">
      <c r="E97" s="744"/>
    </row>
    <row r="98" spans="5:5">
      <c r="E98" s="744"/>
    </row>
    <row r="99" spans="5:5">
      <c r="E99" s="744"/>
    </row>
    <row r="100" spans="5:5">
      <c r="E100" s="744"/>
    </row>
    <row r="101" spans="5:5">
      <c r="E101" s="744"/>
    </row>
    <row r="102" spans="5:5">
      <c r="E102" s="744"/>
    </row>
    <row r="103" spans="5:5">
      <c r="E103" s="744"/>
    </row>
    <row r="104" spans="5:5">
      <c r="E104" s="744"/>
    </row>
    <row r="105" spans="5:5">
      <c r="E105" s="744"/>
    </row>
    <row r="106" spans="5:5">
      <c r="E106" s="744"/>
    </row>
    <row r="107" spans="5:5">
      <c r="E107" s="744"/>
    </row>
    <row r="108" spans="5:5">
      <c r="E108" s="744"/>
    </row>
    <row r="109" spans="5:5">
      <c r="E109" s="744"/>
    </row>
    <row r="110" spans="5:5">
      <c r="E110" s="744"/>
    </row>
    <row r="111" spans="5:5">
      <c r="E111" s="744"/>
    </row>
    <row r="112" spans="5:5">
      <c r="E112" s="744"/>
    </row>
    <row r="113" spans="5:5">
      <c r="E113" s="744"/>
    </row>
    <row r="114" spans="5:5">
      <c r="E114" s="744"/>
    </row>
    <row r="115" spans="5:5">
      <c r="E115" s="744"/>
    </row>
    <row r="116" spans="5:5">
      <c r="E116" s="744"/>
    </row>
    <row r="117" spans="5:5">
      <c r="E117" s="744"/>
    </row>
    <row r="118" spans="5:5">
      <c r="E118" s="744"/>
    </row>
    <row r="119" spans="5:5">
      <c r="E119" s="744"/>
    </row>
    <row r="120" spans="5:5">
      <c r="E120" s="744"/>
    </row>
    <row r="121" spans="5:5">
      <c r="E121" s="744"/>
    </row>
    <row r="122" spans="5:5">
      <c r="E122" s="744"/>
    </row>
    <row r="123" spans="5:5">
      <c r="E123" s="744"/>
    </row>
    <row r="124" spans="5:5">
      <c r="E124" s="744"/>
    </row>
    <row r="125" spans="5:5">
      <c r="E125" s="744"/>
    </row>
    <row r="126" spans="5:5">
      <c r="E126" s="744"/>
    </row>
    <row r="127" spans="5:5">
      <c r="E127" s="744"/>
    </row>
    <row r="128" spans="5:5">
      <c r="E128" s="744"/>
    </row>
    <row r="129" spans="5:5">
      <c r="E129" s="744"/>
    </row>
    <row r="130" spans="5:5">
      <c r="E130" s="744"/>
    </row>
    <row r="131" spans="5:5">
      <c r="E131" s="744"/>
    </row>
    <row r="132" spans="5:5">
      <c r="E132" s="744"/>
    </row>
    <row r="133" spans="5:5">
      <c r="E133" s="744"/>
    </row>
    <row r="134" spans="5:5">
      <c r="E134" s="744"/>
    </row>
    <row r="135" spans="5:5">
      <c r="E135" s="744"/>
    </row>
    <row r="136" spans="5:5">
      <c r="E136" s="744"/>
    </row>
    <row r="137" spans="5:5">
      <c r="E137" s="744"/>
    </row>
    <row r="138" spans="5:5">
      <c r="E138" s="744"/>
    </row>
    <row r="139" spans="5:5">
      <c r="E139" s="744"/>
    </row>
    <row r="140" spans="5:5">
      <c r="E140" s="744"/>
    </row>
    <row r="141" spans="5:5">
      <c r="E141" s="744"/>
    </row>
    <row r="142" spans="5:5">
      <c r="E142" s="744"/>
    </row>
    <row r="143" spans="5:5">
      <c r="E143" s="744"/>
    </row>
    <row r="144" spans="5:5">
      <c r="E144" s="744"/>
    </row>
    <row r="145" spans="5:5">
      <c r="E145" s="744"/>
    </row>
    <row r="146" spans="5:5">
      <c r="E146" s="744"/>
    </row>
    <row r="147" spans="5:5">
      <c r="E147" s="744"/>
    </row>
    <row r="148" spans="5:5">
      <c r="E148" s="744"/>
    </row>
    <row r="149" spans="5:5">
      <c r="E149" s="744"/>
    </row>
    <row r="150" spans="5:5">
      <c r="E150" s="744"/>
    </row>
    <row r="151" spans="5:5">
      <c r="E151" s="744"/>
    </row>
    <row r="152" spans="5:5">
      <c r="E152" s="744"/>
    </row>
    <row r="153" spans="5:5">
      <c r="E153" s="744"/>
    </row>
    <row r="154" spans="5:5">
      <c r="E154" s="744"/>
    </row>
    <row r="155" spans="5:5">
      <c r="E155" s="744"/>
    </row>
    <row r="156" spans="5:5">
      <c r="E156" s="744"/>
    </row>
    <row r="157" spans="5:5">
      <c r="E157" s="744"/>
    </row>
    <row r="158" spans="5:5">
      <c r="E158" s="744"/>
    </row>
    <row r="159" spans="5:5">
      <c r="E159" s="744"/>
    </row>
    <row r="160" spans="5:5">
      <c r="E160" s="744"/>
    </row>
    <row r="161" spans="5:5">
      <c r="E161" s="744"/>
    </row>
    <row r="162" spans="5:5">
      <c r="E162" s="744"/>
    </row>
    <row r="163" spans="5:5">
      <c r="E163" s="744"/>
    </row>
    <row r="164" spans="5:5">
      <c r="E164" s="744"/>
    </row>
    <row r="165" spans="5:5">
      <c r="E165" s="744"/>
    </row>
    <row r="166" spans="5:5">
      <c r="E166" s="744"/>
    </row>
    <row r="167" spans="5:5">
      <c r="E167" s="744"/>
    </row>
    <row r="168" spans="5:5">
      <c r="E168" s="744"/>
    </row>
    <row r="169" spans="5:5">
      <c r="E169" s="744"/>
    </row>
    <row r="170" spans="5:5">
      <c r="E170" s="744"/>
    </row>
    <row r="171" spans="5:5">
      <c r="E171" s="744"/>
    </row>
    <row r="172" spans="5:5">
      <c r="E172" s="744"/>
    </row>
    <row r="173" spans="5:5">
      <c r="E173" s="744"/>
    </row>
    <row r="174" spans="5:5">
      <c r="E174" s="744"/>
    </row>
    <row r="175" spans="5:5">
      <c r="E175" s="744"/>
    </row>
    <row r="176" spans="5:5">
      <c r="E176" s="744"/>
    </row>
    <row r="177" spans="5:5">
      <c r="E177" s="744"/>
    </row>
    <row r="178" spans="5:5">
      <c r="E178" s="744"/>
    </row>
    <row r="179" spans="5:5">
      <c r="E179" s="732"/>
    </row>
    <row r="180" spans="5:5">
      <c r="E180" s="732"/>
    </row>
    <row r="181" spans="5:5">
      <c r="E181" s="732"/>
    </row>
    <row r="182" spans="5:5">
      <c r="E182" s="732"/>
    </row>
    <row r="183" spans="5:5">
      <c r="E183" s="732"/>
    </row>
    <row r="184" spans="5:5">
      <c r="E184" s="732"/>
    </row>
    <row r="185" spans="5:5">
      <c r="E185" s="732"/>
    </row>
  </sheetData>
  <mergeCells count="1">
    <mergeCell ref="A1:E1"/>
  </mergeCells>
  <conditionalFormatting sqref="E4:E10">
    <cfRule type="cellIs" dxfId="6" priority="1" stopIfTrue="1" operator="notBetween">
      <formula>0.3</formula>
      <formula>-0.3</formula>
    </cfRule>
  </conditionalFormatting>
  <printOptions horizontalCentered="1"/>
  <pageMargins left="0.829861111111111" right="0.909027777777778" top="0.788888888888889" bottom="0.309027777777778" header="0.388888888888889" footer="0.238888888888889"/>
  <pageSetup paperSize="256" orientation="portrait" horizontalDpi="180"/>
  <headerFooter alignWithMargins="0" scaleWithDoc="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K342"/>
  <sheetViews>
    <sheetView showGridLines="0" zoomScale="90" zoomScaleNormal="90" workbookViewId="0">
      <selection activeCell="D4" sqref="D4"/>
    </sheetView>
  </sheetViews>
  <sheetFormatPr defaultColWidth="8" defaultRowHeight="14.25"/>
  <cols>
    <col min="1" max="1" width="11.375" style="731" customWidth="1"/>
    <col min="2" max="2" width="17.625" style="732" customWidth="1"/>
    <col min="3" max="4" width="14.625" style="731" customWidth="1"/>
    <col min="5" max="5" width="13.125" style="731" customWidth="1"/>
    <col min="6" max="6" width="10.25" style="731" customWidth="1"/>
    <col min="7" max="7" width="9.25" style="731" customWidth="1"/>
    <col min="8" max="8" width="10.25" style="731" customWidth="1"/>
    <col min="9" max="9" width="6.875" style="731" customWidth="1"/>
    <col min="10" max="32" width="9" style="731" customWidth="1"/>
    <col min="33" max="33" width="8" style="731" customWidth="1"/>
    <col min="34" max="16384" width="8" style="731"/>
  </cols>
  <sheetData>
    <row r="1" ht="29.25" spans="1:11">
      <c r="A1" s="733" t="s">
        <v>685</v>
      </c>
      <c r="B1" s="733"/>
      <c r="C1" s="733"/>
      <c r="D1" s="733"/>
      <c r="E1" s="733"/>
      <c r="F1" s="733"/>
      <c r="G1" s="733"/>
      <c r="H1" s="733"/>
      <c r="I1" s="733"/>
      <c r="J1" s="733"/>
      <c r="K1" s="733"/>
    </row>
    <row r="2" spans="1:8">
      <c r="A2" s="734"/>
      <c r="B2" s="734"/>
      <c r="C2" s="734"/>
      <c r="D2" s="734"/>
      <c r="E2" s="735" t="s">
        <v>408</v>
      </c>
      <c r="F2" s="734"/>
      <c r="G2" s="734"/>
      <c r="H2" s="736" t="s">
        <v>198</v>
      </c>
    </row>
    <row r="3" spans="1:9">
      <c r="A3" s="737" t="s">
        <v>672</v>
      </c>
      <c r="B3" s="737" t="s">
        <v>677</v>
      </c>
      <c r="C3" s="737" t="s">
        <v>678</v>
      </c>
      <c r="D3" s="737" t="s">
        <v>686</v>
      </c>
      <c r="E3" s="737" t="s">
        <v>687</v>
      </c>
      <c r="F3" s="737" t="s">
        <v>625</v>
      </c>
      <c r="G3" s="737" t="s">
        <v>688</v>
      </c>
      <c r="H3" s="737" t="s">
        <v>682</v>
      </c>
      <c r="I3" s="748"/>
    </row>
    <row r="4" spans="1:9">
      <c r="A4" s="738">
        <v>1</v>
      </c>
      <c r="B4" s="739"/>
      <c r="C4" s="739"/>
      <c r="D4" s="740"/>
      <c r="E4" s="740"/>
      <c r="F4" s="741">
        <f t="shared" ref="F4:F16" si="0">IF(B4=0,IF(C4=0,0,"出错"),IF(C4=0,"出错",C4/B4))</f>
        <v>0</v>
      </c>
      <c r="G4" s="741">
        <f t="shared" ref="G4:G16" si="1">IF(B4=0,0,D4/B4)</f>
        <v>0</v>
      </c>
      <c r="H4" s="741">
        <f>IF(B4=0,0,E4/B4)</f>
        <v>0</v>
      </c>
      <c r="I4" s="743"/>
    </row>
    <row r="5" spans="1:9">
      <c r="A5" s="738">
        <v>2</v>
      </c>
      <c r="B5" s="739"/>
      <c r="C5" s="739"/>
      <c r="D5" s="740"/>
      <c r="E5" s="740"/>
      <c r="F5" s="741">
        <f t="shared" si="0"/>
        <v>0</v>
      </c>
      <c r="G5" s="741">
        <f t="shared" si="1"/>
        <v>0</v>
      </c>
      <c r="H5" s="741">
        <f t="shared" ref="H5:H16" si="2">IF(B5=0,0,E5/B5)</f>
        <v>0</v>
      </c>
      <c r="I5" s="743"/>
    </row>
    <row r="6" spans="1:9">
      <c r="A6" s="738">
        <v>3</v>
      </c>
      <c r="B6" s="739"/>
      <c r="C6" s="739"/>
      <c r="D6" s="740"/>
      <c r="E6" s="740"/>
      <c r="F6" s="741">
        <f t="shared" si="0"/>
        <v>0</v>
      </c>
      <c r="G6" s="741">
        <f t="shared" si="1"/>
        <v>0</v>
      </c>
      <c r="H6" s="741">
        <f t="shared" si="2"/>
        <v>0</v>
      </c>
      <c r="I6" s="743"/>
    </row>
    <row r="7" spans="1:9">
      <c r="A7" s="738">
        <v>4</v>
      </c>
      <c r="B7" s="739"/>
      <c r="C7" s="739"/>
      <c r="D7" s="740"/>
      <c r="E7" s="740"/>
      <c r="F7" s="741">
        <f t="shared" si="0"/>
        <v>0</v>
      </c>
      <c r="G7" s="741">
        <f t="shared" si="1"/>
        <v>0</v>
      </c>
      <c r="H7" s="741">
        <f t="shared" si="2"/>
        <v>0</v>
      </c>
      <c r="I7" s="743"/>
    </row>
    <row r="8" spans="1:9">
      <c r="A8" s="738">
        <v>5</v>
      </c>
      <c r="B8" s="739"/>
      <c r="C8" s="739"/>
      <c r="D8" s="740"/>
      <c r="E8" s="740"/>
      <c r="F8" s="741">
        <f t="shared" si="0"/>
        <v>0</v>
      </c>
      <c r="G8" s="741">
        <f t="shared" si="1"/>
        <v>0</v>
      </c>
      <c r="H8" s="741">
        <f t="shared" si="2"/>
        <v>0</v>
      </c>
      <c r="I8" s="743"/>
    </row>
    <row r="9" spans="1:9">
      <c r="A9" s="738">
        <v>6</v>
      </c>
      <c r="B9" s="739"/>
      <c r="C9" s="739"/>
      <c r="D9" s="740"/>
      <c r="E9" s="740"/>
      <c r="F9" s="741">
        <f t="shared" si="0"/>
        <v>0</v>
      </c>
      <c r="G9" s="741">
        <f t="shared" si="1"/>
        <v>0</v>
      </c>
      <c r="H9" s="741">
        <f t="shared" si="2"/>
        <v>0</v>
      </c>
      <c r="I9" s="743"/>
    </row>
    <row r="10" spans="1:9">
      <c r="A10" s="738">
        <v>7</v>
      </c>
      <c r="B10" s="739"/>
      <c r="C10" s="739"/>
      <c r="D10" s="740"/>
      <c r="E10" s="740"/>
      <c r="F10" s="741">
        <f t="shared" si="0"/>
        <v>0</v>
      </c>
      <c r="G10" s="741">
        <f t="shared" si="1"/>
        <v>0</v>
      </c>
      <c r="H10" s="741">
        <f t="shared" si="2"/>
        <v>0</v>
      </c>
      <c r="I10" s="743"/>
    </row>
    <row r="11" spans="1:9">
      <c r="A11" s="738">
        <v>8</v>
      </c>
      <c r="B11" s="739"/>
      <c r="C11" s="739"/>
      <c r="D11" s="740"/>
      <c r="E11" s="740"/>
      <c r="F11" s="741">
        <f t="shared" si="0"/>
        <v>0</v>
      </c>
      <c r="G11" s="741">
        <f t="shared" si="1"/>
        <v>0</v>
      </c>
      <c r="H11" s="741">
        <f t="shared" si="2"/>
        <v>0</v>
      </c>
      <c r="I11" s="743"/>
    </row>
    <row r="12" spans="1:9">
      <c r="A12" s="738">
        <v>9</v>
      </c>
      <c r="B12" s="739"/>
      <c r="C12" s="739"/>
      <c r="D12" s="740"/>
      <c r="E12" s="740"/>
      <c r="F12" s="741">
        <f t="shared" si="0"/>
        <v>0</v>
      </c>
      <c r="G12" s="741">
        <f t="shared" si="1"/>
        <v>0</v>
      </c>
      <c r="H12" s="741">
        <f t="shared" si="2"/>
        <v>0</v>
      </c>
      <c r="I12" s="743"/>
    </row>
    <row r="13" spans="1:9">
      <c r="A13" s="738">
        <v>10</v>
      </c>
      <c r="B13" s="739"/>
      <c r="C13" s="739"/>
      <c r="D13" s="740"/>
      <c r="E13" s="740"/>
      <c r="F13" s="741">
        <f t="shared" si="0"/>
        <v>0</v>
      </c>
      <c r="G13" s="741">
        <f t="shared" si="1"/>
        <v>0</v>
      </c>
      <c r="H13" s="741">
        <f t="shared" si="2"/>
        <v>0</v>
      </c>
      <c r="I13" s="743"/>
    </row>
    <row r="14" spans="1:9">
      <c r="A14" s="738">
        <v>11</v>
      </c>
      <c r="B14" s="739"/>
      <c r="C14" s="739"/>
      <c r="D14" s="740"/>
      <c r="E14" s="740"/>
      <c r="F14" s="741">
        <f t="shared" si="0"/>
        <v>0</v>
      </c>
      <c r="G14" s="741">
        <f t="shared" si="1"/>
        <v>0</v>
      </c>
      <c r="H14" s="741">
        <f t="shared" si="2"/>
        <v>0</v>
      </c>
      <c r="I14" s="743"/>
    </row>
    <row r="15" spans="1:9">
      <c r="A15" s="738">
        <v>12</v>
      </c>
      <c r="B15" s="739"/>
      <c r="C15" s="739"/>
      <c r="D15" s="740"/>
      <c r="E15" s="740"/>
      <c r="F15" s="741">
        <f t="shared" si="0"/>
        <v>0</v>
      </c>
      <c r="G15" s="741">
        <f t="shared" si="1"/>
        <v>0</v>
      </c>
      <c r="H15" s="741">
        <f t="shared" si="2"/>
        <v>0</v>
      </c>
      <c r="I15" s="743"/>
    </row>
    <row r="16" spans="1:9">
      <c r="A16" s="737" t="s">
        <v>689</v>
      </c>
      <c r="B16" s="742">
        <f t="shared" ref="B16:E16" si="3">SUM(B4:B15)</f>
        <v>0</v>
      </c>
      <c r="C16" s="742">
        <f t="shared" si="3"/>
        <v>0</v>
      </c>
      <c r="D16" s="742">
        <f t="shared" si="3"/>
        <v>0</v>
      </c>
      <c r="E16" s="742">
        <f t="shared" si="3"/>
        <v>0</v>
      </c>
      <c r="F16" s="741">
        <f t="shared" si="0"/>
        <v>0</v>
      </c>
      <c r="G16" s="741">
        <f t="shared" si="1"/>
        <v>0</v>
      </c>
      <c r="H16" s="741">
        <f t="shared" si="2"/>
        <v>0</v>
      </c>
      <c r="I16" s="743"/>
    </row>
    <row r="17" spans="1:9">
      <c r="A17" s="743"/>
      <c r="B17" s="744"/>
      <c r="C17" s="743"/>
      <c r="D17" s="743"/>
      <c r="E17" s="744"/>
      <c r="F17" s="743"/>
      <c r="G17" s="743"/>
      <c r="H17" s="743"/>
      <c r="I17" s="743"/>
    </row>
    <row r="18" spans="1:9">
      <c r="A18" s="745" t="s">
        <v>690</v>
      </c>
      <c r="B18" s="744"/>
      <c r="C18" s="743"/>
      <c r="D18" s="743"/>
      <c r="E18" s="744"/>
      <c r="F18" s="745" t="s">
        <v>691</v>
      </c>
      <c r="G18" s="743"/>
      <c r="H18" s="743"/>
      <c r="I18" s="743"/>
    </row>
    <row r="19" spans="1:9">
      <c r="A19" s="743"/>
      <c r="B19" s="744"/>
      <c r="C19" s="743"/>
      <c r="D19" s="743"/>
      <c r="E19" s="744"/>
      <c r="F19" s="743"/>
      <c r="G19" s="743"/>
      <c r="H19" s="743"/>
      <c r="I19" s="743"/>
    </row>
    <row r="20" spans="1:9">
      <c r="A20" s="743"/>
      <c r="B20" s="744"/>
      <c r="C20" s="743"/>
      <c r="D20" s="743"/>
      <c r="E20" s="744"/>
      <c r="F20" s="743"/>
      <c r="G20" s="743"/>
      <c r="H20" s="743"/>
      <c r="I20" s="743"/>
    </row>
    <row r="21" spans="1:9">
      <c r="A21" s="743"/>
      <c r="B21" s="744"/>
      <c r="C21" s="743"/>
      <c r="D21" s="743"/>
      <c r="E21" s="744"/>
      <c r="F21" s="743"/>
      <c r="G21" s="743"/>
      <c r="H21" s="743"/>
      <c r="I21" s="743"/>
    </row>
    <row r="22" spans="1:9">
      <c r="A22" s="743"/>
      <c r="B22" s="744"/>
      <c r="C22" s="743"/>
      <c r="D22" s="743"/>
      <c r="E22" s="744"/>
      <c r="F22" s="743"/>
      <c r="G22" s="743"/>
      <c r="H22" s="743"/>
      <c r="I22" s="743"/>
    </row>
    <row r="23" spans="1:9">
      <c r="A23" s="743"/>
      <c r="B23" s="744"/>
      <c r="C23" s="743"/>
      <c r="D23" s="743"/>
      <c r="E23" s="744"/>
      <c r="F23" s="743"/>
      <c r="G23" s="743"/>
      <c r="H23" s="743"/>
      <c r="I23" s="743"/>
    </row>
    <row r="24" spans="1:9">
      <c r="A24" s="743"/>
      <c r="B24" s="744"/>
      <c r="C24" s="743"/>
      <c r="D24" s="743"/>
      <c r="E24" s="744"/>
      <c r="F24" s="743"/>
      <c r="G24" s="743"/>
      <c r="H24" s="743"/>
      <c r="I24" s="743"/>
    </row>
    <row r="25" spans="1:9">
      <c r="A25" s="743"/>
      <c r="B25" s="744"/>
      <c r="C25" s="743"/>
      <c r="D25" s="743"/>
      <c r="E25" s="744"/>
      <c r="F25" s="743"/>
      <c r="G25" s="743"/>
      <c r="H25" s="743"/>
      <c r="I25" s="743"/>
    </row>
    <row r="26" spans="1:9">
      <c r="A26" s="743"/>
      <c r="B26" s="744"/>
      <c r="C26" s="743"/>
      <c r="D26" s="743"/>
      <c r="E26" s="744"/>
      <c r="F26" s="743"/>
      <c r="G26" s="743"/>
      <c r="H26" s="743"/>
      <c r="I26" s="743"/>
    </row>
    <row r="27" spans="1:9">
      <c r="A27" s="743"/>
      <c r="B27" s="744"/>
      <c r="C27" s="743"/>
      <c r="D27" s="743"/>
      <c r="E27" s="744"/>
      <c r="F27" s="743"/>
      <c r="G27" s="743"/>
      <c r="H27" s="743"/>
      <c r="I27" s="743"/>
    </row>
    <row r="28" spans="1:9">
      <c r="A28" s="743"/>
      <c r="B28" s="744"/>
      <c r="C28" s="743"/>
      <c r="D28" s="743"/>
      <c r="E28" s="744"/>
      <c r="F28" s="743"/>
      <c r="G28" s="743"/>
      <c r="H28" s="743"/>
      <c r="I28" s="743"/>
    </row>
    <row r="29" spans="1:9">
      <c r="A29" s="743"/>
      <c r="B29" s="744"/>
      <c r="C29" s="743"/>
      <c r="D29" s="743"/>
      <c r="E29" s="744"/>
      <c r="F29" s="743"/>
      <c r="G29" s="743"/>
      <c r="H29" s="743"/>
      <c r="I29" s="743"/>
    </row>
    <row r="30" spans="1:9">
      <c r="A30" s="743"/>
      <c r="B30" s="744"/>
      <c r="C30" s="743"/>
      <c r="D30" s="743"/>
      <c r="E30" s="744"/>
      <c r="F30" s="743"/>
      <c r="G30" s="743"/>
      <c r="H30" s="743"/>
      <c r="I30" s="743"/>
    </row>
    <row r="31" spans="1:9">
      <c r="A31" s="743"/>
      <c r="B31" s="744"/>
      <c r="C31" s="743"/>
      <c r="D31" s="743"/>
      <c r="E31" s="744"/>
      <c r="F31" s="743"/>
      <c r="G31" s="743"/>
      <c r="H31" s="743"/>
      <c r="I31" s="743"/>
    </row>
    <row r="32" spans="1:9">
      <c r="A32" s="743"/>
      <c r="B32" s="744"/>
      <c r="C32" s="743"/>
      <c r="D32" s="743"/>
      <c r="E32" s="744"/>
      <c r="F32" s="743"/>
      <c r="G32" s="743"/>
      <c r="H32" s="743"/>
      <c r="I32" s="743"/>
    </row>
    <row r="33" spans="1:9">
      <c r="A33" s="743"/>
      <c r="B33" s="744"/>
      <c r="C33" s="743"/>
      <c r="D33" s="743"/>
      <c r="E33" s="744"/>
      <c r="F33" s="743"/>
      <c r="G33" s="743"/>
      <c r="H33" s="743"/>
      <c r="I33" s="743"/>
    </row>
    <row r="34" spans="1:9">
      <c r="A34" s="743"/>
      <c r="B34" s="744"/>
      <c r="C34" s="743"/>
      <c r="D34" s="743"/>
      <c r="E34" s="744"/>
      <c r="F34" s="743"/>
      <c r="G34" s="743"/>
      <c r="H34" s="743"/>
      <c r="I34" s="743"/>
    </row>
    <row r="35" spans="1:9">
      <c r="A35" s="743"/>
      <c r="B35" s="744"/>
      <c r="C35" s="743"/>
      <c r="D35" s="743"/>
      <c r="E35" s="744"/>
      <c r="F35" s="743"/>
      <c r="G35" s="743"/>
      <c r="H35" s="743"/>
      <c r="I35" s="743"/>
    </row>
    <row r="36" spans="1:9">
      <c r="A36" s="743"/>
      <c r="B36" s="744"/>
      <c r="C36" s="743"/>
      <c r="D36" s="743"/>
      <c r="E36" s="744"/>
      <c r="F36" s="743"/>
      <c r="G36" s="743"/>
      <c r="H36" s="743"/>
      <c r="I36" s="743"/>
    </row>
    <row r="37" spans="1:9">
      <c r="A37" s="746" t="s">
        <v>692</v>
      </c>
      <c r="B37" s="744" t="e">
        <f t="array" ref="B37:C37">LINEST(C4:C15,B4:B15)</f>
        <v>#VALUE!</v>
      </c>
      <c r="C37" s="744" t="e">
        <v>#VALUE!</v>
      </c>
      <c r="D37" s="743"/>
      <c r="E37" s="744"/>
      <c r="F37" s="743"/>
      <c r="G37" s="746" t="s">
        <v>693</v>
      </c>
      <c r="H37" s="747">
        <f>AVERAGE(F4:F15)</f>
        <v>0</v>
      </c>
      <c r="I37" s="743"/>
    </row>
    <row r="38" spans="1:9">
      <c r="A38" s="743"/>
      <c r="B38" s="744" t="e">
        <f>CONCATENATE("Y=",TEXT(B37,"0.0000"),"X+",TEXT(C37,"0.0000"))</f>
        <v>#VALUE!</v>
      </c>
      <c r="C38" s="743" t="s">
        <v>694</v>
      </c>
      <c r="D38" s="743"/>
      <c r="E38" s="744"/>
      <c r="F38" s="743"/>
      <c r="G38" s="746" t="s">
        <v>695</v>
      </c>
      <c r="H38" s="747">
        <f>SQRT((DEVSQ(F4:F15))/12)</f>
        <v>0</v>
      </c>
      <c r="I38" s="743"/>
    </row>
    <row r="39" spans="1:9">
      <c r="A39" s="746" t="s">
        <v>696</v>
      </c>
      <c r="B39" s="744" t="e">
        <f>CONCATENATE("r=",TEXT(CORREL(B4:B15,C4:C15),"0.0000"))</f>
        <v>#DIV/0!</v>
      </c>
      <c r="C39" s="743" t="e">
        <f>IF(CORREL(B4:B15,C4:C15)&lt;0.5,"异常","")</f>
        <v>#DIV/0!</v>
      </c>
      <c r="D39" s="743"/>
      <c r="E39" s="744"/>
      <c r="F39" s="743"/>
      <c r="G39" s="743"/>
      <c r="H39" s="743"/>
      <c r="I39" s="743"/>
    </row>
    <row r="40" spans="1:9">
      <c r="A40" s="743"/>
      <c r="B40" s="744"/>
      <c r="C40" s="743"/>
      <c r="D40" s="743"/>
      <c r="E40" s="744"/>
      <c r="F40" s="743"/>
      <c r="G40" s="743"/>
      <c r="H40" s="743"/>
      <c r="I40" s="743"/>
    </row>
    <row r="41" spans="1:9">
      <c r="A41" s="743"/>
      <c r="B41" s="744"/>
      <c r="C41" s="743"/>
      <c r="D41" s="743"/>
      <c r="E41" s="744"/>
      <c r="F41" s="743"/>
      <c r="G41" s="743"/>
      <c r="H41" s="743"/>
      <c r="I41" s="743"/>
    </row>
    <row r="42" spans="1:9">
      <c r="A42" s="745" t="s">
        <v>697</v>
      </c>
      <c r="B42" s="744"/>
      <c r="C42" s="743"/>
      <c r="D42" s="743"/>
      <c r="E42" s="744"/>
      <c r="F42" s="745" t="s">
        <v>698</v>
      </c>
      <c r="G42" s="743"/>
      <c r="H42" s="743"/>
      <c r="I42" s="743"/>
    </row>
    <row r="43" spans="1:9">
      <c r="A43" s="743"/>
      <c r="B43" s="744"/>
      <c r="C43" s="743"/>
      <c r="D43" s="743"/>
      <c r="E43" s="744"/>
      <c r="F43" s="743"/>
      <c r="G43" s="743"/>
      <c r="H43" s="743"/>
      <c r="I43" s="743"/>
    </row>
    <row r="44" spans="1:9">
      <c r="A44" s="743"/>
      <c r="B44" s="744"/>
      <c r="C44" s="743"/>
      <c r="D44" s="743"/>
      <c r="E44" s="744"/>
      <c r="F44" s="743"/>
      <c r="G44" s="743"/>
      <c r="H44" s="743"/>
      <c r="I44" s="743"/>
    </row>
    <row r="45" spans="1:9">
      <c r="A45" s="743"/>
      <c r="B45" s="744"/>
      <c r="C45" s="743"/>
      <c r="D45" s="743"/>
      <c r="E45" s="744"/>
      <c r="F45" s="743"/>
      <c r="G45" s="743"/>
      <c r="H45" s="743"/>
      <c r="I45" s="743"/>
    </row>
    <row r="46" spans="1:9">
      <c r="A46" s="743"/>
      <c r="B46" s="744"/>
      <c r="C46" s="743"/>
      <c r="D46" s="743"/>
      <c r="E46" s="744"/>
      <c r="F46" s="743"/>
      <c r="G46" s="743"/>
      <c r="H46" s="743"/>
      <c r="I46" s="743"/>
    </row>
    <row r="47" spans="1:9">
      <c r="A47" s="743"/>
      <c r="B47" s="744"/>
      <c r="C47" s="743"/>
      <c r="D47" s="743"/>
      <c r="E47" s="744"/>
      <c r="F47" s="743"/>
      <c r="G47" s="743"/>
      <c r="H47" s="743"/>
      <c r="I47" s="743"/>
    </row>
    <row r="48" spans="1:9">
      <c r="A48" s="743"/>
      <c r="B48" s="744"/>
      <c r="C48" s="743"/>
      <c r="D48" s="743"/>
      <c r="E48" s="744"/>
      <c r="F48" s="743"/>
      <c r="G48" s="743"/>
      <c r="H48" s="743"/>
      <c r="I48" s="743"/>
    </row>
    <row r="49" spans="1:9">
      <c r="A49" s="743"/>
      <c r="B49" s="744"/>
      <c r="C49" s="743"/>
      <c r="D49" s="743"/>
      <c r="E49" s="744"/>
      <c r="F49" s="743"/>
      <c r="G49" s="743"/>
      <c r="H49" s="743"/>
      <c r="I49" s="743"/>
    </row>
    <row r="50" spans="1:9">
      <c r="A50" s="743"/>
      <c r="B50" s="744"/>
      <c r="C50" s="743"/>
      <c r="D50" s="743"/>
      <c r="E50" s="744"/>
      <c r="F50" s="743"/>
      <c r="G50" s="743"/>
      <c r="H50" s="743"/>
      <c r="I50" s="743"/>
    </row>
    <row r="51" spans="1:9">
      <c r="A51" s="743"/>
      <c r="B51" s="744"/>
      <c r="C51" s="743"/>
      <c r="D51" s="743"/>
      <c r="E51" s="744"/>
      <c r="F51" s="743"/>
      <c r="G51" s="743"/>
      <c r="H51" s="743"/>
      <c r="I51" s="743"/>
    </row>
    <row r="52" spans="1:9">
      <c r="A52" s="743"/>
      <c r="B52" s="744"/>
      <c r="C52" s="743"/>
      <c r="D52" s="743"/>
      <c r="E52" s="744"/>
      <c r="F52" s="743"/>
      <c r="G52" s="743"/>
      <c r="H52" s="743"/>
      <c r="I52" s="743"/>
    </row>
    <row r="53" spans="1:9">
      <c r="A53" s="743"/>
      <c r="B53" s="744"/>
      <c r="C53" s="743"/>
      <c r="D53" s="743"/>
      <c r="E53" s="744"/>
      <c r="F53" s="743"/>
      <c r="G53" s="743"/>
      <c r="H53" s="743"/>
      <c r="I53" s="743"/>
    </row>
    <row r="54" spans="1:9">
      <c r="A54" s="743"/>
      <c r="B54" s="744"/>
      <c r="C54" s="743"/>
      <c r="D54" s="743"/>
      <c r="E54" s="744"/>
      <c r="F54" s="743"/>
      <c r="G54" s="743"/>
      <c r="H54" s="743"/>
      <c r="I54" s="743"/>
    </row>
    <row r="55" spans="1:9">
      <c r="A55" s="743"/>
      <c r="B55" s="744"/>
      <c r="C55" s="743"/>
      <c r="D55" s="743"/>
      <c r="E55" s="744"/>
      <c r="F55" s="743"/>
      <c r="G55" s="743"/>
      <c r="H55" s="743"/>
      <c r="I55" s="743"/>
    </row>
    <row r="56" spans="1:9">
      <c r="A56" s="746" t="s">
        <v>692</v>
      </c>
      <c r="B56" s="744" t="e">
        <f t="array" ref="B56:C56">LINEST(D4:D15,B4:B15)</f>
        <v>#VALUE!</v>
      </c>
      <c r="C56" s="744" t="e">
        <v>#VALUE!</v>
      </c>
      <c r="D56" s="743"/>
      <c r="E56" s="744"/>
      <c r="F56" s="743"/>
      <c r="G56" s="746" t="s">
        <v>693</v>
      </c>
      <c r="H56" s="747">
        <f>AVERAGE(G4:G15)</f>
        <v>0</v>
      </c>
      <c r="I56" s="743"/>
    </row>
    <row r="57" spans="1:9">
      <c r="A57" s="743"/>
      <c r="B57" s="744" t="e">
        <f>CONCATENATE("Y=",TEXT(B56,"0.0000"),"X+",TEXT(C56,"0.0000"))</f>
        <v>#VALUE!</v>
      </c>
      <c r="C57" s="743" t="s">
        <v>699</v>
      </c>
      <c r="D57" s="743"/>
      <c r="E57" s="744"/>
      <c r="F57" s="743"/>
      <c r="G57" s="746" t="s">
        <v>695</v>
      </c>
      <c r="H57" s="747">
        <f>SQRT((DEVSQ(G4:G15))/12)</f>
        <v>0</v>
      </c>
      <c r="I57" s="743"/>
    </row>
    <row r="58" spans="1:9">
      <c r="A58" s="746" t="s">
        <v>696</v>
      </c>
      <c r="B58" s="744" t="e">
        <f>CONCATENATE("r=",TEXT(CORREL(B4:B15,D4:D15),"0.0000"))</f>
        <v>#DIV/0!</v>
      </c>
      <c r="C58" s="743" t="e">
        <f>IF(CORREL(B4:B15,D4:D15)&lt;0.5,"异常","")</f>
        <v>#DIV/0!</v>
      </c>
      <c r="D58" s="743"/>
      <c r="E58" s="744"/>
      <c r="F58" s="743"/>
      <c r="G58" s="743"/>
      <c r="H58" s="743"/>
      <c r="I58" s="743"/>
    </row>
    <row r="59" spans="1:9">
      <c r="A59" s="745" t="s">
        <v>700</v>
      </c>
      <c r="B59" s="744"/>
      <c r="C59" s="743"/>
      <c r="D59" s="743"/>
      <c r="E59" s="744"/>
      <c r="F59" s="745" t="s">
        <v>701</v>
      </c>
      <c r="G59" s="743"/>
      <c r="H59" s="743"/>
      <c r="I59" s="743"/>
    </row>
    <row r="60" spans="1:9">
      <c r="A60" s="743"/>
      <c r="B60" s="744"/>
      <c r="C60" s="743"/>
      <c r="D60" s="743"/>
      <c r="E60" s="744"/>
      <c r="F60" s="743"/>
      <c r="G60" s="743"/>
      <c r="H60" s="743"/>
      <c r="I60" s="743"/>
    </row>
    <row r="61" spans="1:9">
      <c r="A61" s="743"/>
      <c r="B61" s="744"/>
      <c r="C61" s="743"/>
      <c r="D61" s="743"/>
      <c r="E61" s="744"/>
      <c r="F61" s="743"/>
      <c r="G61" s="743"/>
      <c r="H61" s="743"/>
      <c r="I61" s="743"/>
    </row>
    <row r="62" spans="1:9">
      <c r="A62" s="743"/>
      <c r="B62" s="744"/>
      <c r="C62" s="743"/>
      <c r="D62" s="743"/>
      <c r="E62" s="744"/>
      <c r="F62" s="743"/>
      <c r="G62" s="743"/>
      <c r="H62" s="743"/>
      <c r="I62" s="743"/>
    </row>
    <row r="63" spans="1:9">
      <c r="A63" s="743"/>
      <c r="B63" s="744"/>
      <c r="C63" s="743"/>
      <c r="D63" s="743"/>
      <c r="E63" s="744"/>
      <c r="F63" s="743"/>
      <c r="G63" s="743"/>
      <c r="H63" s="743"/>
      <c r="I63" s="743"/>
    </row>
    <row r="64" spans="1:9">
      <c r="A64" s="743"/>
      <c r="B64" s="744"/>
      <c r="C64" s="743"/>
      <c r="D64" s="743"/>
      <c r="E64" s="744"/>
      <c r="F64" s="743"/>
      <c r="G64" s="743"/>
      <c r="H64" s="743"/>
      <c r="I64" s="743"/>
    </row>
    <row r="65" spans="1:9">
      <c r="A65" s="743"/>
      <c r="B65" s="744"/>
      <c r="C65" s="743"/>
      <c r="D65" s="743"/>
      <c r="E65" s="744"/>
      <c r="F65" s="743"/>
      <c r="G65" s="743"/>
      <c r="H65" s="743"/>
      <c r="I65" s="743"/>
    </row>
    <row r="66" spans="1:9">
      <c r="A66" s="743"/>
      <c r="B66" s="744"/>
      <c r="C66" s="743"/>
      <c r="D66" s="743"/>
      <c r="E66" s="744"/>
      <c r="F66" s="743"/>
      <c r="G66" s="743"/>
      <c r="H66" s="743"/>
      <c r="I66" s="743"/>
    </row>
    <row r="67" spans="1:9">
      <c r="A67" s="743"/>
      <c r="B67" s="744"/>
      <c r="C67" s="743"/>
      <c r="D67" s="743"/>
      <c r="E67" s="744"/>
      <c r="F67" s="743"/>
      <c r="G67" s="743"/>
      <c r="H67" s="743"/>
      <c r="I67" s="743"/>
    </row>
    <row r="68" spans="1:9">
      <c r="A68" s="743"/>
      <c r="B68" s="744"/>
      <c r="C68" s="743"/>
      <c r="D68" s="743"/>
      <c r="E68" s="744"/>
      <c r="F68" s="743"/>
      <c r="G68" s="743"/>
      <c r="H68" s="743"/>
      <c r="I68" s="743"/>
    </row>
    <row r="69" spans="1:9">
      <c r="A69" s="743"/>
      <c r="B69" s="744"/>
      <c r="C69" s="743"/>
      <c r="D69" s="743"/>
      <c r="E69" s="744"/>
      <c r="F69" s="743"/>
      <c r="G69" s="743"/>
      <c r="H69" s="743"/>
      <c r="I69" s="743"/>
    </row>
    <row r="70" spans="1:9">
      <c r="A70" s="743"/>
      <c r="B70" s="744"/>
      <c r="C70" s="743"/>
      <c r="D70" s="743"/>
      <c r="E70" s="744"/>
      <c r="F70" s="743"/>
      <c r="G70" s="743"/>
      <c r="H70" s="743"/>
      <c r="I70" s="743"/>
    </row>
    <row r="71" spans="1:9">
      <c r="A71" s="743"/>
      <c r="B71" s="744"/>
      <c r="C71" s="743"/>
      <c r="D71" s="743"/>
      <c r="E71" s="744"/>
      <c r="F71" s="743"/>
      <c r="G71" s="743"/>
      <c r="H71" s="743"/>
      <c r="I71" s="743"/>
    </row>
    <row r="72" spans="1:9">
      <c r="A72" s="743"/>
      <c r="B72" s="744"/>
      <c r="C72" s="743"/>
      <c r="D72" s="743"/>
      <c r="E72" s="744"/>
      <c r="F72" s="743"/>
      <c r="G72" s="743"/>
      <c r="H72" s="743"/>
      <c r="I72" s="743"/>
    </row>
    <row r="73" spans="1:9">
      <c r="A73" s="746" t="s">
        <v>692</v>
      </c>
      <c r="B73" s="744" t="e">
        <f t="array" ref="B73:C73">LINEST(E4:E15,B4:B15)</f>
        <v>#VALUE!</v>
      </c>
      <c r="C73" s="744" t="e">
        <v>#VALUE!</v>
      </c>
      <c r="D73" s="743"/>
      <c r="E73" s="744"/>
      <c r="F73" s="743"/>
      <c r="G73" s="746" t="s">
        <v>693</v>
      </c>
      <c r="H73" s="747">
        <f>AVERAGE(H4:H15)</f>
        <v>0</v>
      </c>
      <c r="I73" s="743"/>
    </row>
    <row r="74" spans="1:9">
      <c r="A74" s="743"/>
      <c r="B74" s="744" t="e">
        <f>CONCATENATE("Y=",TEXT(B73,"0.0000"),"X+",TEXT(C73,"0.0000"))</f>
        <v>#VALUE!</v>
      </c>
      <c r="C74" s="743" t="s">
        <v>702</v>
      </c>
      <c r="D74" s="743"/>
      <c r="E74" s="744"/>
      <c r="F74" s="743"/>
      <c r="G74" s="746" t="s">
        <v>695</v>
      </c>
      <c r="H74" s="747">
        <f>SQRT((DEVSQ(H4:H15))/12)</f>
        <v>0</v>
      </c>
      <c r="I74" s="743"/>
    </row>
    <row r="75" spans="1:9">
      <c r="A75" s="746" t="s">
        <v>696</v>
      </c>
      <c r="B75" s="744" t="e">
        <f>CONCATENATE("r=",TEXT(CORREL(B4:B15,E4:E15),"0.0000"))</f>
        <v>#DIV/0!</v>
      </c>
      <c r="C75" s="743" t="e">
        <f>IF(CORREL(B4:B15,E4:E15)&lt;0.5,"异常","")</f>
        <v>#DIV/0!</v>
      </c>
      <c r="D75" s="743"/>
      <c r="E75" s="744"/>
      <c r="F75" s="743"/>
      <c r="G75" s="743"/>
      <c r="H75" s="743"/>
      <c r="I75" s="743"/>
    </row>
    <row r="76" spans="5:8">
      <c r="E76" s="744"/>
      <c r="F76" s="743"/>
      <c r="G76" s="743"/>
      <c r="H76" s="743"/>
    </row>
    <row r="77" spans="5:8">
      <c r="E77" s="744"/>
      <c r="F77" s="743"/>
      <c r="G77" s="743"/>
      <c r="H77" s="743"/>
    </row>
    <row r="78" spans="5:8">
      <c r="E78" s="744"/>
      <c r="F78" s="743"/>
      <c r="G78" s="743"/>
      <c r="H78" s="743"/>
    </row>
    <row r="79" spans="5:8">
      <c r="E79" s="744"/>
      <c r="F79" s="743"/>
      <c r="G79" s="743"/>
      <c r="H79" s="743"/>
    </row>
    <row r="80" spans="5:8">
      <c r="E80" s="744"/>
      <c r="F80" s="743"/>
      <c r="G80" s="743"/>
      <c r="H80" s="743"/>
    </row>
    <row r="81" spans="5:8">
      <c r="E81" s="744"/>
      <c r="F81" s="743"/>
      <c r="G81" s="743"/>
      <c r="H81" s="743"/>
    </row>
    <row r="82" spans="5:8">
      <c r="E82" s="744"/>
      <c r="F82" s="743"/>
      <c r="G82" s="743"/>
      <c r="H82" s="743"/>
    </row>
    <row r="83" spans="5:8">
      <c r="E83" s="744"/>
      <c r="F83" s="743"/>
      <c r="G83" s="743"/>
      <c r="H83" s="743"/>
    </row>
    <row r="84" spans="5:8">
      <c r="E84" s="744"/>
      <c r="F84" s="743"/>
      <c r="G84" s="743"/>
      <c r="H84" s="743"/>
    </row>
    <row r="85" spans="5:8">
      <c r="E85" s="744"/>
      <c r="F85" s="743"/>
      <c r="G85" s="743"/>
      <c r="H85" s="743"/>
    </row>
    <row r="86" spans="5:8">
      <c r="E86" s="744"/>
      <c r="F86" s="743"/>
      <c r="G86" s="743"/>
      <c r="H86" s="743"/>
    </row>
    <row r="87" spans="5:8">
      <c r="E87" s="744"/>
      <c r="F87" s="743"/>
      <c r="G87" s="743"/>
      <c r="H87" s="743"/>
    </row>
    <row r="88" spans="5:8">
      <c r="E88" s="744"/>
      <c r="F88" s="743"/>
      <c r="G88" s="743"/>
      <c r="H88" s="743"/>
    </row>
    <row r="89" spans="5:8">
      <c r="E89" s="744"/>
      <c r="F89" s="743"/>
      <c r="G89" s="743"/>
      <c r="H89" s="743"/>
    </row>
    <row r="90" spans="5:8">
      <c r="E90" s="744"/>
      <c r="F90" s="743"/>
      <c r="G90" s="743"/>
      <c r="H90" s="743"/>
    </row>
    <row r="91" spans="5:8">
      <c r="E91" s="744"/>
      <c r="F91" s="743"/>
      <c r="G91" s="743"/>
      <c r="H91" s="743"/>
    </row>
    <row r="92" spans="5:8">
      <c r="E92" s="744"/>
      <c r="F92" s="743"/>
      <c r="G92" s="743"/>
      <c r="H92" s="743"/>
    </row>
    <row r="93" spans="5:8">
      <c r="E93" s="744"/>
      <c r="F93" s="743"/>
      <c r="G93" s="743"/>
      <c r="H93" s="743"/>
    </row>
    <row r="94" spans="5:8">
      <c r="E94" s="744"/>
      <c r="F94" s="743"/>
      <c r="G94" s="743"/>
      <c r="H94" s="743"/>
    </row>
    <row r="95" spans="5:8">
      <c r="E95" s="744"/>
      <c r="F95" s="743"/>
      <c r="G95" s="743"/>
      <c r="H95" s="743"/>
    </row>
    <row r="96" spans="5:8">
      <c r="E96" s="744"/>
      <c r="F96" s="743"/>
      <c r="G96" s="743"/>
      <c r="H96" s="743"/>
    </row>
    <row r="97" spans="5:8">
      <c r="E97" s="744"/>
      <c r="F97" s="743"/>
      <c r="G97" s="743"/>
      <c r="H97" s="743"/>
    </row>
    <row r="98" spans="5:8">
      <c r="E98" s="744"/>
      <c r="F98" s="743"/>
      <c r="G98" s="743"/>
      <c r="H98" s="743"/>
    </row>
    <row r="99" spans="5:8">
      <c r="E99" s="744"/>
      <c r="F99" s="743"/>
      <c r="G99" s="743"/>
      <c r="H99" s="743"/>
    </row>
    <row r="100" spans="5:8">
      <c r="E100" s="744"/>
      <c r="F100" s="743"/>
      <c r="G100" s="743"/>
      <c r="H100" s="743"/>
    </row>
    <row r="101" spans="5:8">
      <c r="E101" s="744"/>
      <c r="F101" s="743"/>
      <c r="G101" s="743"/>
      <c r="H101" s="743"/>
    </row>
    <row r="102" spans="5:8">
      <c r="E102" s="744"/>
      <c r="F102" s="743"/>
      <c r="G102" s="743"/>
      <c r="H102" s="743"/>
    </row>
    <row r="103" spans="5:8">
      <c r="E103" s="744"/>
      <c r="F103" s="743"/>
      <c r="G103" s="743"/>
      <c r="H103" s="743"/>
    </row>
    <row r="104" spans="5:8">
      <c r="E104" s="744"/>
      <c r="F104" s="743"/>
      <c r="G104" s="743"/>
      <c r="H104" s="743"/>
    </row>
    <row r="105" spans="5:8">
      <c r="E105" s="744"/>
      <c r="F105" s="743"/>
      <c r="G105" s="743"/>
      <c r="H105" s="743"/>
    </row>
    <row r="106" spans="5:8">
      <c r="E106" s="744"/>
      <c r="F106" s="743"/>
      <c r="G106" s="743"/>
      <c r="H106" s="743"/>
    </row>
    <row r="107" spans="5:8">
      <c r="E107" s="744"/>
      <c r="F107" s="743"/>
      <c r="G107" s="743"/>
      <c r="H107" s="743"/>
    </row>
    <row r="108" spans="5:8">
      <c r="E108" s="744"/>
      <c r="F108" s="743"/>
      <c r="G108" s="743"/>
      <c r="H108" s="743"/>
    </row>
    <row r="109" spans="5:8">
      <c r="E109" s="744"/>
      <c r="F109" s="743"/>
      <c r="G109" s="743"/>
      <c r="H109" s="743"/>
    </row>
    <row r="110" spans="5:8">
      <c r="E110" s="744"/>
      <c r="F110" s="743"/>
      <c r="G110" s="743"/>
      <c r="H110" s="743"/>
    </row>
    <row r="111" spans="5:8">
      <c r="E111" s="744"/>
      <c r="F111" s="743"/>
      <c r="G111" s="743"/>
      <c r="H111" s="743"/>
    </row>
    <row r="112" spans="5:8">
      <c r="E112" s="744"/>
      <c r="F112" s="743"/>
      <c r="G112" s="743"/>
      <c r="H112" s="743"/>
    </row>
    <row r="113" spans="5:8">
      <c r="E113" s="744"/>
      <c r="F113" s="743"/>
      <c r="G113" s="743"/>
      <c r="H113" s="743"/>
    </row>
    <row r="114" spans="5:8">
      <c r="E114" s="744"/>
      <c r="F114" s="743"/>
      <c r="G114" s="743"/>
      <c r="H114" s="743"/>
    </row>
    <row r="115" spans="5:8">
      <c r="E115" s="744"/>
      <c r="F115" s="743"/>
      <c r="G115" s="743"/>
      <c r="H115" s="743"/>
    </row>
    <row r="116" spans="5:8">
      <c r="E116" s="744"/>
      <c r="F116" s="743"/>
      <c r="G116" s="743"/>
      <c r="H116" s="743"/>
    </row>
    <row r="117" spans="5:8">
      <c r="E117" s="744"/>
      <c r="F117" s="743"/>
      <c r="G117" s="743"/>
      <c r="H117" s="743"/>
    </row>
    <row r="118" spans="5:8">
      <c r="E118" s="744"/>
      <c r="F118" s="743"/>
      <c r="G118" s="743"/>
      <c r="H118" s="743"/>
    </row>
    <row r="119" spans="5:8">
      <c r="E119" s="744"/>
      <c r="F119" s="743"/>
      <c r="G119" s="743"/>
      <c r="H119" s="743"/>
    </row>
    <row r="120" spans="5:8">
      <c r="E120" s="744"/>
      <c r="F120" s="743"/>
      <c r="G120" s="743"/>
      <c r="H120" s="743"/>
    </row>
    <row r="121" spans="5:8">
      <c r="E121" s="744"/>
      <c r="F121" s="743"/>
      <c r="G121" s="743"/>
      <c r="H121" s="743"/>
    </row>
    <row r="122" spans="5:8">
      <c r="E122" s="744"/>
      <c r="F122" s="743"/>
      <c r="G122" s="743"/>
      <c r="H122" s="743"/>
    </row>
    <row r="123" spans="5:8">
      <c r="E123" s="744"/>
      <c r="F123" s="743"/>
      <c r="G123" s="743"/>
      <c r="H123" s="743"/>
    </row>
    <row r="124" spans="5:8">
      <c r="E124" s="744"/>
      <c r="F124" s="743"/>
      <c r="G124" s="743"/>
      <c r="H124" s="743"/>
    </row>
    <row r="125" spans="5:8">
      <c r="E125" s="744"/>
      <c r="F125" s="743"/>
      <c r="G125" s="743"/>
      <c r="H125" s="743"/>
    </row>
    <row r="126" spans="5:8">
      <c r="E126" s="744"/>
      <c r="F126" s="743"/>
      <c r="G126" s="743"/>
      <c r="H126" s="743"/>
    </row>
    <row r="127" spans="5:8">
      <c r="E127" s="744"/>
      <c r="F127" s="743"/>
      <c r="G127" s="743"/>
      <c r="H127" s="743"/>
    </row>
    <row r="128" spans="5:8">
      <c r="E128" s="744"/>
      <c r="F128" s="743"/>
      <c r="G128" s="743"/>
      <c r="H128" s="743"/>
    </row>
    <row r="129" spans="5:8">
      <c r="E129" s="744"/>
      <c r="F129" s="743"/>
      <c r="G129" s="743"/>
      <c r="H129" s="743"/>
    </row>
    <row r="130" spans="5:8">
      <c r="E130" s="744"/>
      <c r="F130" s="743"/>
      <c r="G130" s="743"/>
      <c r="H130" s="743"/>
    </row>
    <row r="131" spans="5:8">
      <c r="E131" s="744"/>
      <c r="F131" s="743"/>
      <c r="G131" s="743"/>
      <c r="H131" s="743"/>
    </row>
    <row r="132" spans="5:8">
      <c r="E132" s="744"/>
      <c r="F132" s="743"/>
      <c r="G132" s="743"/>
      <c r="H132" s="743"/>
    </row>
    <row r="133" spans="5:8">
      <c r="E133" s="744"/>
      <c r="F133" s="743"/>
      <c r="G133" s="743"/>
      <c r="H133" s="743"/>
    </row>
    <row r="134" spans="5:8">
      <c r="E134" s="744"/>
      <c r="F134" s="743"/>
      <c r="G134" s="743"/>
      <c r="H134" s="743"/>
    </row>
    <row r="135" spans="5:8">
      <c r="E135" s="744"/>
      <c r="F135" s="743"/>
      <c r="G135" s="743"/>
      <c r="H135" s="743"/>
    </row>
    <row r="136" spans="5:8">
      <c r="E136" s="744"/>
      <c r="F136" s="743"/>
      <c r="G136" s="743"/>
      <c r="H136" s="743"/>
    </row>
    <row r="137" spans="5:8">
      <c r="E137" s="744"/>
      <c r="F137" s="743"/>
      <c r="G137" s="743"/>
      <c r="H137" s="743"/>
    </row>
    <row r="138" spans="5:8">
      <c r="E138" s="744"/>
      <c r="F138" s="743"/>
      <c r="G138" s="743"/>
      <c r="H138" s="743"/>
    </row>
    <row r="139" spans="5:8">
      <c r="E139" s="744"/>
      <c r="F139" s="743"/>
      <c r="G139" s="743"/>
      <c r="H139" s="743"/>
    </row>
    <row r="140" spans="5:8">
      <c r="E140" s="744"/>
      <c r="F140" s="743"/>
      <c r="G140" s="743"/>
      <c r="H140" s="743"/>
    </row>
    <row r="141" spans="5:8">
      <c r="E141" s="744"/>
      <c r="F141" s="743"/>
      <c r="G141" s="743"/>
      <c r="H141" s="743"/>
    </row>
    <row r="142" spans="5:8">
      <c r="E142" s="744"/>
      <c r="F142" s="743"/>
      <c r="G142" s="743"/>
      <c r="H142" s="743"/>
    </row>
    <row r="143" spans="5:8">
      <c r="E143" s="744"/>
      <c r="F143" s="743"/>
      <c r="G143" s="743"/>
      <c r="H143" s="743"/>
    </row>
    <row r="144" spans="5:8">
      <c r="E144" s="744"/>
      <c r="F144" s="743"/>
      <c r="G144" s="743"/>
      <c r="H144" s="743"/>
    </row>
    <row r="145" spans="5:8">
      <c r="E145" s="744"/>
      <c r="F145" s="743"/>
      <c r="G145" s="743"/>
      <c r="H145" s="743"/>
    </row>
    <row r="146" spans="5:8">
      <c r="E146" s="744"/>
      <c r="F146" s="743"/>
      <c r="G146" s="743"/>
      <c r="H146" s="743"/>
    </row>
    <row r="147" spans="5:8">
      <c r="E147" s="744"/>
      <c r="F147" s="743"/>
      <c r="G147" s="743"/>
      <c r="H147" s="743"/>
    </row>
    <row r="148" spans="5:8">
      <c r="E148" s="744"/>
      <c r="F148" s="743"/>
      <c r="G148" s="743"/>
      <c r="H148" s="743"/>
    </row>
    <row r="149" spans="5:8">
      <c r="E149" s="744"/>
      <c r="F149" s="743"/>
      <c r="G149" s="743"/>
      <c r="H149" s="743"/>
    </row>
    <row r="150" spans="5:8">
      <c r="E150" s="744"/>
      <c r="F150" s="743"/>
      <c r="G150" s="743"/>
      <c r="H150" s="743"/>
    </row>
    <row r="151" spans="5:8">
      <c r="E151" s="744"/>
      <c r="F151" s="743"/>
      <c r="G151" s="743"/>
      <c r="H151" s="743"/>
    </row>
    <row r="152" spans="5:8">
      <c r="E152" s="744"/>
      <c r="F152" s="743"/>
      <c r="G152" s="743"/>
      <c r="H152" s="743"/>
    </row>
    <row r="153" spans="5:8">
      <c r="E153" s="744"/>
      <c r="F153" s="743"/>
      <c r="G153" s="743"/>
      <c r="H153" s="743"/>
    </row>
    <row r="154" spans="5:8">
      <c r="E154" s="744"/>
      <c r="F154" s="743"/>
      <c r="G154" s="743"/>
      <c r="H154" s="743"/>
    </row>
    <row r="155" spans="5:8">
      <c r="E155" s="744"/>
      <c r="F155" s="743"/>
      <c r="G155" s="743"/>
      <c r="H155" s="743"/>
    </row>
    <row r="156" spans="5:8">
      <c r="E156" s="744"/>
      <c r="F156" s="743"/>
      <c r="G156" s="743"/>
      <c r="H156" s="743"/>
    </row>
    <row r="157" spans="5:8">
      <c r="E157" s="744"/>
      <c r="F157" s="743"/>
      <c r="G157" s="743"/>
      <c r="H157" s="743"/>
    </row>
    <row r="158" spans="5:8">
      <c r="E158" s="744"/>
      <c r="F158" s="743"/>
      <c r="G158" s="743"/>
      <c r="H158" s="743"/>
    </row>
    <row r="159" spans="5:8">
      <c r="E159" s="744"/>
      <c r="F159" s="743"/>
      <c r="G159" s="743"/>
      <c r="H159" s="743"/>
    </row>
    <row r="160" spans="5:8">
      <c r="E160" s="744"/>
      <c r="F160" s="743"/>
      <c r="G160" s="743"/>
      <c r="H160" s="743"/>
    </row>
    <row r="161" spans="5:8">
      <c r="E161" s="744"/>
      <c r="F161" s="743"/>
      <c r="G161" s="743"/>
      <c r="H161" s="743"/>
    </row>
    <row r="162" spans="5:8">
      <c r="E162" s="744"/>
      <c r="F162" s="743"/>
      <c r="G162" s="743"/>
      <c r="H162" s="743"/>
    </row>
    <row r="163" spans="5:8">
      <c r="E163" s="744"/>
      <c r="F163" s="743"/>
      <c r="G163" s="743"/>
      <c r="H163" s="743"/>
    </row>
    <row r="164" spans="5:8">
      <c r="E164" s="744"/>
      <c r="F164" s="743"/>
      <c r="G164" s="743"/>
      <c r="H164" s="743"/>
    </row>
    <row r="165" spans="5:8">
      <c r="E165" s="744"/>
      <c r="F165" s="743"/>
      <c r="G165" s="743"/>
      <c r="H165" s="743"/>
    </row>
    <row r="166" spans="5:8">
      <c r="E166" s="744"/>
      <c r="F166" s="743"/>
      <c r="G166" s="743"/>
      <c r="H166" s="743"/>
    </row>
    <row r="167" spans="5:8">
      <c r="E167" s="744"/>
      <c r="F167" s="743"/>
      <c r="G167" s="743"/>
      <c r="H167" s="743"/>
    </row>
    <row r="168" spans="5:8">
      <c r="E168" s="744"/>
      <c r="F168" s="743"/>
      <c r="G168" s="743"/>
      <c r="H168" s="743"/>
    </row>
    <row r="169" spans="5:8">
      <c r="E169" s="744"/>
      <c r="F169" s="743"/>
      <c r="G169" s="743"/>
      <c r="H169" s="743"/>
    </row>
    <row r="170" spans="5:8">
      <c r="E170" s="744"/>
      <c r="F170" s="743"/>
      <c r="G170" s="743"/>
      <c r="H170" s="743"/>
    </row>
    <row r="171" spans="5:8">
      <c r="E171" s="744"/>
      <c r="F171" s="743"/>
      <c r="G171" s="743"/>
      <c r="H171" s="743"/>
    </row>
    <row r="172" spans="5:8">
      <c r="E172" s="744"/>
      <c r="F172" s="743"/>
      <c r="G172" s="743"/>
      <c r="H172" s="743"/>
    </row>
    <row r="173" spans="5:8">
      <c r="E173" s="744"/>
      <c r="F173" s="743"/>
      <c r="G173" s="743"/>
      <c r="H173" s="743"/>
    </row>
    <row r="174" spans="5:8">
      <c r="E174" s="744"/>
      <c r="F174" s="743"/>
      <c r="G174" s="743"/>
      <c r="H174" s="743"/>
    </row>
    <row r="175" spans="5:8">
      <c r="E175" s="744"/>
      <c r="F175" s="743"/>
      <c r="G175" s="743"/>
      <c r="H175" s="743"/>
    </row>
    <row r="176" spans="5:8">
      <c r="E176" s="744"/>
      <c r="F176" s="743"/>
      <c r="G176" s="743"/>
      <c r="H176" s="743"/>
    </row>
    <row r="177" spans="5:8">
      <c r="E177" s="744"/>
      <c r="F177" s="743"/>
      <c r="G177" s="743"/>
      <c r="H177" s="743"/>
    </row>
    <row r="178" spans="5:8">
      <c r="E178" s="744"/>
      <c r="F178" s="743"/>
      <c r="G178" s="743"/>
      <c r="H178" s="743"/>
    </row>
    <row r="179" spans="5:8">
      <c r="E179" s="744"/>
      <c r="F179" s="743"/>
      <c r="G179" s="743"/>
      <c r="H179" s="743"/>
    </row>
    <row r="180" spans="5:8">
      <c r="E180" s="744"/>
      <c r="F180" s="743"/>
      <c r="G180" s="743"/>
      <c r="H180" s="743"/>
    </row>
    <row r="181" spans="5:8">
      <c r="E181" s="744"/>
      <c r="F181" s="743"/>
      <c r="G181" s="743"/>
      <c r="H181" s="743"/>
    </row>
    <row r="182" spans="5:8">
      <c r="E182" s="744"/>
      <c r="F182" s="743"/>
      <c r="G182" s="743"/>
      <c r="H182" s="743"/>
    </row>
    <row r="183" spans="5:8">
      <c r="E183" s="744"/>
      <c r="F183" s="743"/>
      <c r="G183" s="743"/>
      <c r="H183" s="743"/>
    </row>
    <row r="184" spans="5:8">
      <c r="E184" s="744"/>
      <c r="F184" s="743"/>
      <c r="G184" s="743"/>
      <c r="H184" s="743"/>
    </row>
    <row r="185" spans="5:8">
      <c r="E185" s="744"/>
      <c r="F185" s="743"/>
      <c r="G185" s="743"/>
      <c r="H185" s="743"/>
    </row>
    <row r="186" spans="5:8">
      <c r="E186" s="744"/>
      <c r="F186" s="743"/>
      <c r="G186" s="743"/>
      <c r="H186" s="743"/>
    </row>
    <row r="187" spans="5:8">
      <c r="E187" s="744"/>
      <c r="F187" s="743"/>
      <c r="G187" s="743"/>
      <c r="H187" s="743"/>
    </row>
    <row r="188" spans="5:8">
      <c r="E188" s="744"/>
      <c r="F188" s="743"/>
      <c r="G188" s="743"/>
      <c r="H188" s="743"/>
    </row>
    <row r="189" spans="5:8">
      <c r="E189" s="744"/>
      <c r="F189" s="743"/>
      <c r="G189" s="743"/>
      <c r="H189" s="743"/>
    </row>
    <row r="190" spans="5:8">
      <c r="E190" s="744"/>
      <c r="F190" s="743"/>
      <c r="G190" s="743"/>
      <c r="H190" s="743"/>
    </row>
    <row r="191" spans="5:8">
      <c r="E191" s="744"/>
      <c r="F191" s="743"/>
      <c r="G191" s="743"/>
      <c r="H191" s="743"/>
    </row>
    <row r="192" spans="5:8">
      <c r="E192" s="744"/>
      <c r="F192" s="743"/>
      <c r="G192" s="743"/>
      <c r="H192" s="743"/>
    </row>
    <row r="193" spans="5:8">
      <c r="E193" s="744"/>
      <c r="F193" s="743"/>
      <c r="G193" s="743"/>
      <c r="H193" s="743"/>
    </row>
    <row r="194" spans="5:8">
      <c r="E194" s="744"/>
      <c r="F194" s="743"/>
      <c r="G194" s="743"/>
      <c r="H194" s="743"/>
    </row>
    <row r="195" spans="5:8">
      <c r="E195" s="744"/>
      <c r="F195" s="743"/>
      <c r="G195" s="743"/>
      <c r="H195" s="743"/>
    </row>
    <row r="196" spans="5:8">
      <c r="E196" s="744"/>
      <c r="F196" s="743"/>
      <c r="G196" s="743"/>
      <c r="H196" s="743"/>
    </row>
    <row r="197" spans="5:8">
      <c r="E197" s="744"/>
      <c r="F197" s="743"/>
      <c r="G197" s="743"/>
      <c r="H197" s="743"/>
    </row>
    <row r="198" spans="5:8">
      <c r="E198" s="744"/>
      <c r="F198" s="743"/>
      <c r="G198" s="743"/>
      <c r="H198" s="743"/>
    </row>
    <row r="199" spans="5:8">
      <c r="E199" s="744"/>
      <c r="F199" s="743"/>
      <c r="G199" s="743"/>
      <c r="H199" s="743"/>
    </row>
    <row r="200" spans="5:8">
      <c r="E200" s="744"/>
      <c r="F200" s="743"/>
      <c r="G200" s="743"/>
      <c r="H200" s="743"/>
    </row>
    <row r="201" spans="5:8">
      <c r="E201" s="744"/>
      <c r="F201" s="743"/>
      <c r="G201" s="743"/>
      <c r="H201" s="743"/>
    </row>
    <row r="202" spans="5:8">
      <c r="E202" s="744"/>
      <c r="F202" s="743"/>
      <c r="G202" s="743"/>
      <c r="H202" s="743"/>
    </row>
    <row r="203" spans="5:8">
      <c r="E203" s="744"/>
      <c r="F203" s="743"/>
      <c r="G203" s="743"/>
      <c r="H203" s="743"/>
    </row>
    <row r="204" spans="5:8">
      <c r="E204" s="744"/>
      <c r="F204" s="743"/>
      <c r="G204" s="743"/>
      <c r="H204" s="743"/>
    </row>
    <row r="205" spans="5:8">
      <c r="E205" s="744"/>
      <c r="F205" s="743"/>
      <c r="G205" s="743"/>
      <c r="H205" s="743"/>
    </row>
    <row r="206" spans="5:8">
      <c r="E206" s="744"/>
      <c r="F206" s="743"/>
      <c r="G206" s="743"/>
      <c r="H206" s="743"/>
    </row>
    <row r="207" spans="5:8">
      <c r="E207" s="744"/>
      <c r="F207" s="743"/>
      <c r="G207" s="743"/>
      <c r="H207" s="743"/>
    </row>
    <row r="208" spans="5:8">
      <c r="E208" s="744"/>
      <c r="F208" s="743"/>
      <c r="G208" s="743"/>
      <c r="H208" s="743"/>
    </row>
    <row r="209" spans="5:8">
      <c r="E209" s="744"/>
      <c r="F209" s="743"/>
      <c r="G209" s="743"/>
      <c r="H209" s="743"/>
    </row>
    <row r="210" spans="5:8">
      <c r="E210" s="744"/>
      <c r="F210" s="743"/>
      <c r="G210" s="743"/>
      <c r="H210" s="743"/>
    </row>
    <row r="211" spans="5:8">
      <c r="E211" s="744"/>
      <c r="F211" s="743"/>
      <c r="G211" s="743"/>
      <c r="H211" s="743"/>
    </row>
    <row r="212" spans="5:8">
      <c r="E212" s="744"/>
      <c r="F212" s="743"/>
      <c r="G212" s="743"/>
      <c r="H212" s="743"/>
    </row>
    <row r="213" spans="5:8">
      <c r="E213" s="744"/>
      <c r="F213" s="743"/>
      <c r="G213" s="743"/>
      <c r="H213" s="743"/>
    </row>
    <row r="214" spans="5:8">
      <c r="E214" s="744"/>
      <c r="F214" s="743"/>
      <c r="G214" s="743"/>
      <c r="H214" s="743"/>
    </row>
    <row r="215" spans="5:8">
      <c r="E215" s="744"/>
      <c r="F215" s="743"/>
      <c r="G215" s="743"/>
      <c r="H215" s="743"/>
    </row>
    <row r="216" spans="5:8">
      <c r="E216" s="744"/>
      <c r="F216" s="743"/>
      <c r="G216" s="743"/>
      <c r="H216" s="743"/>
    </row>
    <row r="217" spans="5:8">
      <c r="E217" s="744"/>
      <c r="F217" s="743"/>
      <c r="G217" s="743"/>
      <c r="H217" s="743"/>
    </row>
    <row r="218" spans="5:8">
      <c r="E218" s="744"/>
      <c r="F218" s="743"/>
      <c r="G218" s="743"/>
      <c r="H218" s="743"/>
    </row>
    <row r="219" spans="5:8">
      <c r="E219" s="744"/>
      <c r="F219" s="743"/>
      <c r="G219" s="743"/>
      <c r="H219" s="743"/>
    </row>
    <row r="220" spans="5:8">
      <c r="E220" s="744"/>
      <c r="F220" s="743"/>
      <c r="G220" s="743"/>
      <c r="H220" s="743"/>
    </row>
    <row r="221" spans="5:8">
      <c r="E221" s="744"/>
      <c r="F221" s="743"/>
      <c r="G221" s="743"/>
      <c r="H221" s="743"/>
    </row>
    <row r="222" spans="5:8">
      <c r="E222" s="744"/>
      <c r="F222" s="743"/>
      <c r="G222" s="743"/>
      <c r="H222" s="743"/>
    </row>
    <row r="223" spans="5:8">
      <c r="E223" s="744"/>
      <c r="F223" s="743"/>
      <c r="G223" s="743"/>
      <c r="H223" s="743"/>
    </row>
    <row r="224" spans="5:8">
      <c r="E224" s="744"/>
      <c r="F224" s="743"/>
      <c r="G224" s="743"/>
      <c r="H224" s="743"/>
    </row>
    <row r="225" spans="5:8">
      <c r="E225" s="744"/>
      <c r="F225" s="743"/>
      <c r="G225" s="743"/>
      <c r="H225" s="743"/>
    </row>
    <row r="226" spans="5:8">
      <c r="E226" s="744"/>
      <c r="F226" s="743"/>
      <c r="G226" s="743"/>
      <c r="H226" s="743"/>
    </row>
    <row r="227" spans="5:8">
      <c r="E227" s="744"/>
      <c r="F227" s="743"/>
      <c r="G227" s="743"/>
      <c r="H227" s="743"/>
    </row>
    <row r="228" spans="5:8">
      <c r="E228" s="744"/>
      <c r="F228" s="743"/>
      <c r="G228" s="743"/>
      <c r="H228" s="743"/>
    </row>
    <row r="229" spans="5:8">
      <c r="E229" s="744"/>
      <c r="F229" s="743"/>
      <c r="G229" s="743"/>
      <c r="H229" s="743"/>
    </row>
    <row r="230" spans="5:8">
      <c r="E230" s="744"/>
      <c r="F230" s="743"/>
      <c r="G230" s="743"/>
      <c r="H230" s="743"/>
    </row>
    <row r="231" spans="5:8">
      <c r="E231" s="744"/>
      <c r="F231" s="743"/>
      <c r="G231" s="743"/>
      <c r="H231" s="743"/>
    </row>
    <row r="232" spans="5:8">
      <c r="E232" s="744"/>
      <c r="F232" s="743"/>
      <c r="G232" s="743"/>
      <c r="H232" s="743"/>
    </row>
    <row r="233" spans="5:8">
      <c r="E233" s="744"/>
      <c r="F233" s="743"/>
      <c r="G233" s="743"/>
      <c r="H233" s="743"/>
    </row>
    <row r="234" spans="5:8">
      <c r="E234" s="744"/>
      <c r="F234" s="743"/>
      <c r="G234" s="743"/>
      <c r="H234" s="743"/>
    </row>
    <row r="235" spans="5:8">
      <c r="E235" s="744"/>
      <c r="F235" s="743"/>
      <c r="G235" s="743"/>
      <c r="H235" s="743"/>
    </row>
    <row r="236" spans="5:8">
      <c r="E236" s="744"/>
      <c r="F236" s="743"/>
      <c r="G236" s="743"/>
      <c r="H236" s="743"/>
    </row>
    <row r="237" spans="5:8">
      <c r="E237" s="744"/>
      <c r="F237" s="743"/>
      <c r="G237" s="743"/>
      <c r="H237" s="743"/>
    </row>
    <row r="238" spans="5:8">
      <c r="E238" s="744"/>
      <c r="F238" s="743"/>
      <c r="G238" s="743"/>
      <c r="H238" s="743"/>
    </row>
    <row r="239" spans="5:8">
      <c r="E239" s="744"/>
      <c r="F239" s="743"/>
      <c r="G239" s="743"/>
      <c r="H239" s="743"/>
    </row>
    <row r="240" spans="5:8">
      <c r="E240" s="744"/>
      <c r="F240" s="743"/>
      <c r="G240" s="743"/>
      <c r="H240" s="743"/>
    </row>
    <row r="241" spans="5:8">
      <c r="E241" s="744"/>
      <c r="F241" s="743"/>
      <c r="G241" s="743"/>
      <c r="H241" s="743"/>
    </row>
    <row r="242" spans="5:8">
      <c r="E242" s="744"/>
      <c r="F242" s="743"/>
      <c r="G242" s="743"/>
      <c r="H242" s="743"/>
    </row>
    <row r="243" spans="5:8">
      <c r="E243" s="744"/>
      <c r="F243" s="743"/>
      <c r="G243" s="743"/>
      <c r="H243" s="743"/>
    </row>
    <row r="244" spans="5:8">
      <c r="E244" s="744"/>
      <c r="F244" s="743"/>
      <c r="G244" s="743"/>
      <c r="H244" s="743"/>
    </row>
    <row r="245" spans="5:8">
      <c r="E245" s="744"/>
      <c r="F245" s="743"/>
      <c r="G245" s="743"/>
      <c r="H245" s="743"/>
    </row>
    <row r="246" spans="5:8">
      <c r="E246" s="744"/>
      <c r="F246" s="743"/>
      <c r="G246" s="743"/>
      <c r="H246" s="743"/>
    </row>
    <row r="247" spans="5:8">
      <c r="E247" s="744"/>
      <c r="F247" s="743"/>
      <c r="G247" s="743"/>
      <c r="H247" s="743"/>
    </row>
    <row r="248" spans="5:8">
      <c r="E248" s="744"/>
      <c r="F248" s="743"/>
      <c r="G248" s="743"/>
      <c r="H248" s="743"/>
    </row>
    <row r="249" spans="5:8">
      <c r="E249" s="744"/>
      <c r="F249" s="743"/>
      <c r="G249" s="743"/>
      <c r="H249" s="743"/>
    </row>
    <row r="250" spans="5:8">
      <c r="E250" s="744"/>
      <c r="F250" s="743"/>
      <c r="G250" s="743"/>
      <c r="H250" s="743"/>
    </row>
    <row r="251" spans="5:8">
      <c r="E251" s="744"/>
      <c r="F251" s="743"/>
      <c r="G251" s="743"/>
      <c r="H251" s="743"/>
    </row>
    <row r="252" spans="5:8">
      <c r="E252" s="744"/>
      <c r="F252" s="743"/>
      <c r="G252" s="743"/>
      <c r="H252" s="743"/>
    </row>
    <row r="253" spans="5:8">
      <c r="E253" s="744"/>
      <c r="F253" s="743"/>
      <c r="G253" s="743"/>
      <c r="H253" s="743"/>
    </row>
    <row r="254" spans="5:8">
      <c r="E254" s="744"/>
      <c r="F254" s="743"/>
      <c r="G254" s="743"/>
      <c r="H254" s="743"/>
    </row>
    <row r="255" spans="5:8">
      <c r="E255" s="744"/>
      <c r="F255" s="743"/>
      <c r="G255" s="743"/>
      <c r="H255" s="743"/>
    </row>
    <row r="256" spans="5:8">
      <c r="E256" s="744"/>
      <c r="F256" s="743"/>
      <c r="G256" s="743"/>
      <c r="H256" s="743"/>
    </row>
    <row r="257" spans="5:8">
      <c r="E257" s="744"/>
      <c r="F257" s="743"/>
      <c r="G257" s="743"/>
      <c r="H257" s="743"/>
    </row>
    <row r="258" spans="5:8">
      <c r="E258" s="744"/>
      <c r="F258" s="743"/>
      <c r="G258" s="743"/>
      <c r="H258" s="743"/>
    </row>
    <row r="259" spans="5:8">
      <c r="E259" s="744"/>
      <c r="F259" s="743"/>
      <c r="G259" s="743"/>
      <c r="H259" s="743"/>
    </row>
    <row r="260" spans="5:8">
      <c r="E260" s="744"/>
      <c r="F260" s="743"/>
      <c r="G260" s="743"/>
      <c r="H260" s="743"/>
    </row>
    <row r="261" spans="5:8">
      <c r="E261" s="744"/>
      <c r="F261" s="743"/>
      <c r="G261" s="743"/>
      <c r="H261" s="743"/>
    </row>
    <row r="262" spans="5:8">
      <c r="E262" s="744"/>
      <c r="F262" s="743"/>
      <c r="G262" s="743"/>
      <c r="H262" s="743"/>
    </row>
    <row r="263" spans="5:8">
      <c r="E263" s="744"/>
      <c r="F263" s="743"/>
      <c r="G263" s="743"/>
      <c r="H263" s="743"/>
    </row>
    <row r="264" spans="5:8">
      <c r="E264" s="744"/>
      <c r="F264" s="743"/>
      <c r="G264" s="743"/>
      <c r="H264" s="743"/>
    </row>
    <row r="265" spans="5:8">
      <c r="E265" s="744"/>
      <c r="F265" s="743"/>
      <c r="G265" s="743"/>
      <c r="H265" s="743"/>
    </row>
    <row r="266" spans="5:8">
      <c r="E266" s="744"/>
      <c r="F266" s="743"/>
      <c r="G266" s="743"/>
      <c r="H266" s="743"/>
    </row>
    <row r="267" spans="5:8">
      <c r="E267" s="744"/>
      <c r="F267" s="743"/>
      <c r="G267" s="743"/>
      <c r="H267" s="743"/>
    </row>
    <row r="268" spans="5:8">
      <c r="E268" s="744"/>
      <c r="F268" s="743"/>
      <c r="G268" s="743"/>
      <c r="H268" s="743"/>
    </row>
    <row r="269" spans="5:8">
      <c r="E269" s="744"/>
      <c r="F269" s="743"/>
      <c r="G269" s="743"/>
      <c r="H269" s="743"/>
    </row>
    <row r="270" spans="5:8">
      <c r="E270" s="744"/>
      <c r="F270" s="743"/>
      <c r="G270" s="743"/>
      <c r="H270" s="743"/>
    </row>
    <row r="271" spans="5:8">
      <c r="E271" s="744"/>
      <c r="F271" s="743"/>
      <c r="G271" s="743"/>
      <c r="H271" s="743"/>
    </row>
    <row r="272" spans="5:8">
      <c r="E272" s="744"/>
      <c r="F272" s="743"/>
      <c r="G272" s="743"/>
      <c r="H272" s="743"/>
    </row>
    <row r="273" spans="5:8">
      <c r="E273" s="744"/>
      <c r="F273" s="743"/>
      <c r="G273" s="743"/>
      <c r="H273" s="743"/>
    </row>
    <row r="274" spans="5:8">
      <c r="E274" s="744"/>
      <c r="F274" s="743"/>
      <c r="G274" s="743"/>
      <c r="H274" s="743"/>
    </row>
    <row r="275" spans="5:8">
      <c r="E275" s="744"/>
      <c r="F275" s="743"/>
      <c r="G275" s="743"/>
      <c r="H275" s="743"/>
    </row>
    <row r="276" spans="5:8">
      <c r="E276" s="744"/>
      <c r="F276" s="743"/>
      <c r="G276" s="743"/>
      <c r="H276" s="743"/>
    </row>
    <row r="277" spans="5:8">
      <c r="E277" s="744"/>
      <c r="F277" s="743"/>
      <c r="G277" s="743"/>
      <c r="H277" s="743"/>
    </row>
    <row r="278" spans="5:8">
      <c r="E278" s="744"/>
      <c r="F278" s="743"/>
      <c r="G278" s="743"/>
      <c r="H278" s="743"/>
    </row>
    <row r="279" spans="5:8">
      <c r="E279" s="744"/>
      <c r="F279" s="743"/>
      <c r="G279" s="743"/>
      <c r="H279" s="743"/>
    </row>
    <row r="280" spans="5:8">
      <c r="E280" s="744"/>
      <c r="F280" s="743"/>
      <c r="G280" s="743"/>
      <c r="H280" s="743"/>
    </row>
    <row r="281" spans="5:8">
      <c r="E281" s="744"/>
      <c r="F281" s="743"/>
      <c r="G281" s="743"/>
      <c r="H281" s="743"/>
    </row>
    <row r="282" spans="5:8">
      <c r="E282" s="744"/>
      <c r="F282" s="743"/>
      <c r="G282" s="743"/>
      <c r="H282" s="743"/>
    </row>
    <row r="283" spans="5:8">
      <c r="E283" s="744"/>
      <c r="F283" s="743"/>
      <c r="G283" s="743"/>
      <c r="H283" s="743"/>
    </row>
    <row r="284" spans="5:8">
      <c r="E284" s="744"/>
      <c r="F284" s="743"/>
      <c r="G284" s="743"/>
      <c r="H284" s="743"/>
    </row>
    <row r="285" spans="5:8">
      <c r="E285" s="744"/>
      <c r="F285" s="743"/>
      <c r="G285" s="743"/>
      <c r="H285" s="743"/>
    </row>
    <row r="286" spans="5:8">
      <c r="E286" s="744"/>
      <c r="F286" s="743"/>
      <c r="G286" s="743"/>
      <c r="H286" s="743"/>
    </row>
    <row r="287" spans="5:8">
      <c r="E287" s="744"/>
      <c r="F287" s="743"/>
      <c r="G287" s="743"/>
      <c r="H287" s="743"/>
    </row>
    <row r="288" spans="5:8">
      <c r="E288" s="744"/>
      <c r="F288" s="743"/>
      <c r="G288" s="743"/>
      <c r="H288" s="743"/>
    </row>
    <row r="289" spans="5:8">
      <c r="E289" s="744"/>
      <c r="F289" s="743"/>
      <c r="G289" s="743"/>
      <c r="H289" s="743"/>
    </row>
    <row r="290" spans="5:8">
      <c r="E290" s="744"/>
      <c r="F290" s="743"/>
      <c r="G290" s="743"/>
      <c r="H290" s="743"/>
    </row>
    <row r="291" spans="5:8">
      <c r="E291" s="744"/>
      <c r="F291" s="743"/>
      <c r="G291" s="743"/>
      <c r="H291" s="743"/>
    </row>
    <row r="292" spans="5:8">
      <c r="E292" s="744"/>
      <c r="F292" s="743"/>
      <c r="G292" s="743"/>
      <c r="H292" s="743"/>
    </row>
    <row r="293" spans="5:8">
      <c r="E293" s="744"/>
      <c r="F293" s="743"/>
      <c r="G293" s="743"/>
      <c r="H293" s="743"/>
    </row>
    <row r="294" spans="5:8">
      <c r="E294" s="744"/>
      <c r="F294" s="743"/>
      <c r="G294" s="743"/>
      <c r="H294" s="743"/>
    </row>
    <row r="295" spans="5:8">
      <c r="E295" s="744"/>
      <c r="F295" s="743"/>
      <c r="G295" s="743"/>
      <c r="H295" s="743"/>
    </row>
    <row r="296" spans="5:8">
      <c r="E296" s="744"/>
      <c r="F296" s="743"/>
      <c r="G296" s="743"/>
      <c r="H296" s="743"/>
    </row>
    <row r="297" spans="5:8">
      <c r="E297" s="744"/>
      <c r="F297" s="743"/>
      <c r="G297" s="743"/>
      <c r="H297" s="743"/>
    </row>
    <row r="298" spans="5:8">
      <c r="E298" s="744"/>
      <c r="F298" s="743"/>
      <c r="G298" s="743"/>
      <c r="H298" s="743"/>
    </row>
    <row r="299" spans="5:8">
      <c r="E299" s="744"/>
      <c r="F299" s="743"/>
      <c r="G299" s="743"/>
      <c r="H299" s="743"/>
    </row>
    <row r="300" spans="5:8">
      <c r="E300" s="744"/>
      <c r="F300" s="743"/>
      <c r="G300" s="743"/>
      <c r="H300" s="743"/>
    </row>
    <row r="301" spans="5:8">
      <c r="E301" s="744"/>
      <c r="F301" s="743"/>
      <c r="G301" s="743"/>
      <c r="H301" s="743"/>
    </row>
    <row r="302" spans="5:8">
      <c r="E302" s="744"/>
      <c r="F302" s="743"/>
      <c r="G302" s="743"/>
      <c r="H302" s="743"/>
    </row>
    <row r="303" spans="5:8">
      <c r="E303" s="744"/>
      <c r="F303" s="743"/>
      <c r="G303" s="743"/>
      <c r="H303" s="743"/>
    </row>
    <row r="304" spans="5:8">
      <c r="E304" s="744"/>
      <c r="F304" s="743"/>
      <c r="G304" s="743"/>
      <c r="H304" s="743"/>
    </row>
    <row r="305" spans="5:8">
      <c r="E305" s="744"/>
      <c r="F305" s="743"/>
      <c r="G305" s="743"/>
      <c r="H305" s="743"/>
    </row>
    <row r="306" spans="5:8">
      <c r="E306" s="744"/>
      <c r="F306" s="743"/>
      <c r="G306" s="743"/>
      <c r="H306" s="743"/>
    </row>
    <row r="307" spans="5:8">
      <c r="E307" s="744"/>
      <c r="F307" s="743"/>
      <c r="G307" s="743"/>
      <c r="H307" s="743"/>
    </row>
    <row r="308" spans="5:8">
      <c r="E308" s="744"/>
      <c r="F308" s="743"/>
      <c r="G308" s="743"/>
      <c r="H308" s="743"/>
    </row>
    <row r="309" spans="5:8">
      <c r="E309" s="744"/>
      <c r="F309" s="743"/>
      <c r="G309" s="743"/>
      <c r="H309" s="743"/>
    </row>
    <row r="310" spans="5:8">
      <c r="E310" s="744"/>
      <c r="F310" s="743"/>
      <c r="G310" s="743"/>
      <c r="H310" s="743"/>
    </row>
    <row r="311" spans="5:8">
      <c r="E311" s="744"/>
      <c r="F311" s="743"/>
      <c r="G311" s="743"/>
      <c r="H311" s="743"/>
    </row>
    <row r="312" spans="5:8">
      <c r="E312" s="744"/>
      <c r="F312" s="743"/>
      <c r="G312" s="743"/>
      <c r="H312" s="743"/>
    </row>
    <row r="313" spans="5:8">
      <c r="E313" s="744"/>
      <c r="F313" s="743"/>
      <c r="G313" s="743"/>
      <c r="H313" s="743"/>
    </row>
    <row r="314" spans="5:8">
      <c r="E314" s="744"/>
      <c r="F314" s="743"/>
      <c r="G314" s="743"/>
      <c r="H314" s="743"/>
    </row>
    <row r="315" spans="5:8">
      <c r="E315" s="744"/>
      <c r="F315" s="743"/>
      <c r="G315" s="743"/>
      <c r="H315" s="743"/>
    </row>
    <row r="316" spans="5:8">
      <c r="E316" s="744"/>
      <c r="F316" s="743"/>
      <c r="G316" s="743"/>
      <c r="H316" s="743"/>
    </row>
    <row r="317" spans="5:8">
      <c r="E317" s="744"/>
      <c r="F317" s="743"/>
      <c r="G317" s="743"/>
      <c r="H317" s="743"/>
    </row>
    <row r="318" spans="5:8">
      <c r="E318" s="744"/>
      <c r="F318" s="743"/>
      <c r="G318" s="743"/>
      <c r="H318" s="743"/>
    </row>
    <row r="319" spans="5:8">
      <c r="E319" s="744"/>
      <c r="F319" s="743"/>
      <c r="G319" s="743"/>
      <c r="H319" s="743"/>
    </row>
    <row r="320" spans="5:8">
      <c r="E320" s="744"/>
      <c r="F320" s="743"/>
      <c r="G320" s="743"/>
      <c r="H320" s="743"/>
    </row>
    <row r="321" spans="5:8">
      <c r="E321" s="744"/>
      <c r="F321" s="743"/>
      <c r="G321" s="743"/>
      <c r="H321" s="743"/>
    </row>
    <row r="322" spans="5:8">
      <c r="E322" s="744"/>
      <c r="F322" s="743"/>
      <c r="G322" s="743"/>
      <c r="H322" s="743"/>
    </row>
    <row r="323" spans="5:8">
      <c r="E323" s="744"/>
      <c r="F323" s="743"/>
      <c r="G323" s="743"/>
      <c r="H323" s="743"/>
    </row>
    <row r="324" spans="5:8">
      <c r="E324" s="744"/>
      <c r="F324" s="743"/>
      <c r="G324" s="743"/>
      <c r="H324" s="743"/>
    </row>
    <row r="325" spans="5:8">
      <c r="E325" s="744"/>
      <c r="F325" s="743"/>
      <c r="G325" s="743"/>
      <c r="H325" s="743"/>
    </row>
    <row r="326" spans="5:8">
      <c r="E326" s="744"/>
      <c r="F326" s="743"/>
      <c r="G326" s="743"/>
      <c r="H326" s="743"/>
    </row>
    <row r="327" spans="5:8">
      <c r="E327" s="744"/>
      <c r="F327" s="743"/>
      <c r="G327" s="743"/>
      <c r="H327" s="743"/>
    </row>
    <row r="328" spans="5:8">
      <c r="E328" s="744"/>
      <c r="F328" s="743"/>
      <c r="G328" s="743"/>
      <c r="H328" s="743"/>
    </row>
    <row r="329" spans="5:8">
      <c r="E329" s="744"/>
      <c r="F329" s="743"/>
      <c r="G329" s="743"/>
      <c r="H329" s="743"/>
    </row>
    <row r="330" spans="5:8">
      <c r="E330" s="744"/>
      <c r="F330" s="743"/>
      <c r="G330" s="743"/>
      <c r="H330" s="743"/>
    </row>
    <row r="331" spans="5:8">
      <c r="E331" s="744"/>
      <c r="F331" s="743"/>
      <c r="G331" s="743"/>
      <c r="H331" s="743"/>
    </row>
    <row r="332" spans="5:8">
      <c r="E332" s="744"/>
      <c r="F332" s="743"/>
      <c r="G332" s="743"/>
      <c r="H332" s="743"/>
    </row>
    <row r="333" spans="5:8">
      <c r="E333" s="744"/>
      <c r="F333" s="743"/>
      <c r="G333" s="743"/>
      <c r="H333" s="743"/>
    </row>
    <row r="334" spans="5:8">
      <c r="E334" s="744"/>
      <c r="F334" s="743"/>
      <c r="G334" s="743"/>
      <c r="H334" s="743"/>
    </row>
    <row r="335" spans="5:8">
      <c r="E335" s="744"/>
      <c r="F335" s="743"/>
      <c r="G335" s="743"/>
      <c r="H335" s="743"/>
    </row>
    <row r="336" spans="5:5">
      <c r="E336" s="732"/>
    </row>
    <row r="337" spans="5:5">
      <c r="E337" s="732"/>
    </row>
    <row r="338" spans="5:5">
      <c r="E338" s="732"/>
    </row>
    <row r="339" spans="5:5">
      <c r="E339" s="732"/>
    </row>
    <row r="340" spans="5:5">
      <c r="E340" s="732"/>
    </row>
    <row r="341" spans="5:5">
      <c r="E341" s="732"/>
    </row>
    <row r="342" spans="5:5">
      <c r="E342" s="732"/>
    </row>
  </sheetData>
  <mergeCells count="1">
    <mergeCell ref="A1:K1"/>
  </mergeCells>
  <printOptions horizontalCentered="1"/>
  <pageMargins left="0.629166666666667" right="0.509027777777778" top="0.788888888888889" bottom="0.309027777777778" header="0.388888888888889" footer="0.238888888888889"/>
  <pageSetup paperSize="256" orientation="landscape" horizontalDpi="180"/>
  <headerFooter alignWithMargins="0" scaleWithDoc="0">
    <oddFooter>&amp;C第 &amp;P 页，共 &amp;N 页</oddFooter>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F19"/>
  <sheetViews>
    <sheetView zoomScale="90" zoomScaleNormal="90" workbookViewId="0">
      <selection activeCell="I11" sqref="I11"/>
    </sheetView>
  </sheetViews>
  <sheetFormatPr defaultColWidth="8" defaultRowHeight="16.5" outlineLevelCol="5"/>
  <cols>
    <col min="1" max="1" width="20.875" style="713" customWidth="1"/>
    <col min="2" max="2" width="24.625" style="713" customWidth="1"/>
    <col min="3" max="3" width="15.5" style="713" customWidth="1"/>
    <col min="4" max="4" width="17.375" style="713" customWidth="1"/>
    <col min="5" max="5" width="11.375" style="713" customWidth="1"/>
    <col min="6" max="16384" width="8" style="713"/>
  </cols>
  <sheetData>
    <row r="1" ht="27.75" customHeight="1" spans="1:5">
      <c r="A1" s="714" t="s">
        <v>703</v>
      </c>
      <c r="B1" s="714"/>
      <c r="C1" s="714"/>
      <c r="D1" s="714"/>
      <c r="E1" s="714"/>
    </row>
    <row r="2" ht="20.1" customHeight="1" spans="1:5">
      <c r="A2" s="715"/>
      <c r="B2" s="715"/>
      <c r="C2" s="716" t="s">
        <v>408</v>
      </c>
      <c r="D2" s="715"/>
      <c r="E2" s="716" t="s">
        <v>198</v>
      </c>
    </row>
    <row r="3" ht="24.95" customHeight="1" spans="1:6">
      <c r="A3" s="717" t="s">
        <v>704</v>
      </c>
      <c r="B3" s="717" t="s">
        <v>436</v>
      </c>
      <c r="C3" s="717" t="s">
        <v>705</v>
      </c>
      <c r="D3" s="717" t="s">
        <v>706</v>
      </c>
      <c r="E3" s="718" t="s">
        <v>707</v>
      </c>
      <c r="F3" s="719"/>
    </row>
    <row r="4" ht="24.95" customHeight="1" spans="1:6">
      <c r="A4" s="720" t="s">
        <v>708</v>
      </c>
      <c r="B4" s="720" t="s">
        <v>709</v>
      </c>
      <c r="C4" s="721">
        <v>0.012</v>
      </c>
      <c r="D4" s="722">
        <f>IF(资产负债表!B37=0,0,(资产负债表!B17-资产负债表!E18)/资产负债表!B37*100*C4)</f>
        <v>0.825540970624373</v>
      </c>
      <c r="E4" s="723" t="s">
        <v>710</v>
      </c>
      <c r="F4" s="719"/>
    </row>
    <row r="5" ht="24.95" customHeight="1" spans="1:6">
      <c r="A5" s="720" t="s">
        <v>711</v>
      </c>
      <c r="B5" s="720" t="s">
        <v>712</v>
      </c>
      <c r="C5" s="721">
        <v>0.014</v>
      </c>
      <c r="D5" s="722">
        <f>IF(资产负债表!B37=0,0,(资产负债表!E33+资产负债表!E34)/资产负债表!B37*100*C5)</f>
        <v>0</v>
      </c>
      <c r="E5" s="723"/>
      <c r="F5" s="719"/>
    </row>
    <row r="6" ht="24.95" customHeight="1" spans="1:6">
      <c r="A6" s="720" t="s">
        <v>713</v>
      </c>
      <c r="B6" s="720" t="s">
        <v>714</v>
      </c>
      <c r="C6" s="721">
        <v>0.033</v>
      </c>
      <c r="D6" s="722">
        <f>(利润表!B21+利润表!B20+利润表!B10)/资产负债表!B37</f>
        <v>0.252485614256615</v>
      </c>
      <c r="E6" s="723"/>
      <c r="F6" s="719"/>
    </row>
    <row r="7" ht="24.95" customHeight="1" spans="1:6">
      <c r="A7" s="720" t="s">
        <v>715</v>
      </c>
      <c r="B7" s="720" t="s">
        <v>716</v>
      </c>
      <c r="C7" s="721">
        <v>0.006</v>
      </c>
      <c r="D7" s="722">
        <f>IF(资产负债表!E28=0,0,D9/资产负债表!E28*100*C7)</f>
        <v>0</v>
      </c>
      <c r="E7" s="723"/>
      <c r="F7" s="719"/>
    </row>
    <row r="8" ht="24.95" customHeight="1" spans="1:6">
      <c r="A8" s="720" t="s">
        <v>717</v>
      </c>
      <c r="B8" s="720" t="s">
        <v>718</v>
      </c>
      <c r="C8" s="721">
        <v>0.00999</v>
      </c>
      <c r="D8" s="724">
        <f>利润表!B5/资产负债表!B37</f>
        <v>0.408202697131288</v>
      </c>
      <c r="E8" s="723"/>
      <c r="F8" s="719"/>
    </row>
    <row r="9" ht="24.95" customHeight="1" spans="1:6">
      <c r="A9" s="720" t="s">
        <v>719</v>
      </c>
      <c r="B9" s="725" t="s">
        <v>720</v>
      </c>
      <c r="C9" s="725"/>
      <c r="D9" s="726"/>
      <c r="E9" s="723"/>
      <c r="F9" s="719"/>
    </row>
    <row r="10" ht="24.95" customHeight="1" spans="1:6">
      <c r="A10" s="727" t="s">
        <v>721</v>
      </c>
      <c r="B10" s="728"/>
      <c r="C10" s="729"/>
      <c r="D10" s="724">
        <f>SUM(D4:D8)</f>
        <v>1.48622928201228</v>
      </c>
      <c r="E10" s="723"/>
      <c r="F10" s="719"/>
    </row>
    <row r="11" ht="24.95" customHeight="1" spans="1:6">
      <c r="A11" s="727" t="s">
        <v>722</v>
      </c>
      <c r="B11" s="728"/>
      <c r="C11" s="729"/>
      <c r="D11" s="724">
        <v>2.675</v>
      </c>
      <c r="E11" s="723"/>
      <c r="F11" s="719"/>
    </row>
    <row r="12" ht="24.95" customHeight="1" spans="1:6">
      <c r="A12" s="727" t="s">
        <v>723</v>
      </c>
      <c r="B12" s="728"/>
      <c r="C12" s="729"/>
      <c r="D12" s="730" t="str">
        <f>IF(D10&gt;D11,"财务业绩较好","企业具有失败特征")</f>
        <v>企业具有失败特征</v>
      </c>
      <c r="E12" s="723"/>
      <c r="F12" s="719"/>
    </row>
    <row r="13" ht="24.95" customHeight="1"/>
    <row r="14" ht="24.95" customHeight="1"/>
    <row r="15" ht="24.95" customHeight="1"/>
    <row r="16" ht="24.95" customHeight="1"/>
    <row r="17" ht="24.95" customHeight="1"/>
    <row r="18" ht="24.95" customHeight="1"/>
    <row r="19" ht="24.95" customHeight="1"/>
  </sheetData>
  <mergeCells count="6">
    <mergeCell ref="A1:E1"/>
    <mergeCell ref="B9:C9"/>
    <mergeCell ref="A10:C10"/>
    <mergeCell ref="A11:C11"/>
    <mergeCell ref="A12:C12"/>
    <mergeCell ref="E4:E12"/>
  </mergeCells>
  <pageMargins left="0.75" right="0.75" top="1" bottom="1" header="0.509027777777778" footer="0.509027777777778"/>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F50"/>
  <sheetViews>
    <sheetView zoomScale="90" zoomScaleNormal="90" workbookViewId="0">
      <selection activeCell="B8" sqref="B8"/>
    </sheetView>
  </sheetViews>
  <sheetFormatPr defaultColWidth="8" defaultRowHeight="16.5" outlineLevelCol="5"/>
  <cols>
    <col min="1" max="1" width="21" style="702" customWidth="1"/>
    <col min="2" max="3" width="12.625" style="702" customWidth="1"/>
    <col min="4" max="4" width="22" style="702" customWidth="1"/>
    <col min="5" max="6" width="12.625" style="702" customWidth="1"/>
    <col min="7" max="16384" width="8" style="702"/>
  </cols>
  <sheetData>
    <row r="1" ht="32.1" customHeight="1" spans="1:6">
      <c r="A1" s="703" t="s">
        <v>724</v>
      </c>
      <c r="B1" s="703"/>
      <c r="C1" s="703"/>
      <c r="D1" s="703"/>
      <c r="E1" s="703"/>
      <c r="F1" s="703"/>
    </row>
    <row r="2" s="700" customFormat="1" spans="3:6">
      <c r="C2" s="704" t="s">
        <v>408</v>
      </c>
      <c r="D2" s="704"/>
      <c r="F2" s="705" t="s">
        <v>198</v>
      </c>
    </row>
    <row r="3" s="701" customFormat="1" ht="15.6" customHeight="1" spans="1:6">
      <c r="A3" s="637" t="s">
        <v>725</v>
      </c>
      <c r="B3" s="637" t="s">
        <v>726</v>
      </c>
      <c r="C3" s="637" t="s">
        <v>727</v>
      </c>
      <c r="D3" s="637" t="s">
        <v>728</v>
      </c>
      <c r="E3" s="637" t="s">
        <v>726</v>
      </c>
      <c r="F3" s="637" t="s">
        <v>727</v>
      </c>
    </row>
    <row r="4" ht="15.6" customHeight="1" spans="1:6">
      <c r="A4" s="638" t="s">
        <v>729</v>
      </c>
      <c r="B4" s="639"/>
      <c r="C4" s="639"/>
      <c r="D4" s="638" t="s">
        <v>730</v>
      </c>
      <c r="E4" s="639"/>
      <c r="F4" s="639"/>
    </row>
    <row r="5" ht="15.6" customHeight="1" spans="1:6">
      <c r="A5" s="638" t="s">
        <v>731</v>
      </c>
      <c r="B5" s="639"/>
      <c r="C5" s="639"/>
      <c r="D5" s="706" t="s">
        <v>100</v>
      </c>
      <c r="E5" s="641">
        <f>资产负债表!E6</f>
        <v>5555</v>
      </c>
      <c r="F5" s="641">
        <f>资产负债表!F6</f>
        <v>66666</v>
      </c>
    </row>
    <row r="6" ht="15.6" customHeight="1" spans="1:6">
      <c r="A6" s="706" t="s">
        <v>732</v>
      </c>
      <c r="B6" s="641">
        <f>资产负债表!B6-E17</f>
        <v>4559</v>
      </c>
      <c r="C6" s="641">
        <f>资产负债表!C6-F17</f>
        <v>7889</v>
      </c>
      <c r="D6" s="706" t="s">
        <v>102</v>
      </c>
      <c r="E6" s="641">
        <f>资产负债表!E7</f>
        <v>0</v>
      </c>
      <c r="F6" s="641">
        <f>资产负债表!F7</f>
        <v>0</v>
      </c>
    </row>
    <row r="7" ht="15.6" customHeight="1" spans="1:6">
      <c r="A7" s="706" t="s">
        <v>733</v>
      </c>
      <c r="B7" s="641">
        <f>资产负债表!B8-E19</f>
        <v>1441</v>
      </c>
      <c r="C7" s="641">
        <f>资产负债表!C8-F19</f>
        <v>414</v>
      </c>
      <c r="D7" s="707" t="s">
        <v>734</v>
      </c>
      <c r="E7" s="708"/>
      <c r="F7" s="708"/>
    </row>
    <row r="8" ht="15.6" customHeight="1" spans="1:6">
      <c r="A8" s="706" t="s">
        <v>105</v>
      </c>
      <c r="B8" s="641">
        <f>资产负债表!B9</f>
        <v>522445</v>
      </c>
      <c r="C8" s="641">
        <f>资产负债表!C9</f>
        <v>555555</v>
      </c>
      <c r="D8" s="706" t="s">
        <v>114</v>
      </c>
      <c r="E8" s="641">
        <f>资产负债表!E13</f>
        <v>6666</v>
      </c>
      <c r="F8" s="641">
        <f>资产负债表!F13</f>
        <v>3333</v>
      </c>
    </row>
    <row r="9" ht="15.6" customHeight="1" spans="1:6">
      <c r="A9" s="706" t="s">
        <v>107</v>
      </c>
      <c r="B9" s="641">
        <f>资产负债表!B10</f>
        <v>521</v>
      </c>
      <c r="C9" s="641">
        <f>资产负债表!C10</f>
        <v>6777</v>
      </c>
      <c r="D9" s="707" t="s">
        <v>735</v>
      </c>
      <c r="E9" s="708"/>
      <c r="F9" s="708"/>
    </row>
    <row r="10" ht="15.6" customHeight="1" spans="1:6">
      <c r="A10" s="706" t="s">
        <v>736</v>
      </c>
      <c r="B10" s="641">
        <f>资产负债表!B12-E20</f>
        <v>0</v>
      </c>
      <c r="C10" s="641">
        <f>资产负债表!C12-F20</f>
        <v>0</v>
      </c>
      <c r="D10" s="707" t="s">
        <v>737</v>
      </c>
      <c r="E10" s="708"/>
      <c r="F10" s="708"/>
    </row>
    <row r="11" ht="15.6" customHeight="1" spans="1:6">
      <c r="A11" s="706" t="s">
        <v>113</v>
      </c>
      <c r="B11" s="641">
        <f>资产负债表!B13</f>
        <v>666</v>
      </c>
      <c r="C11" s="641">
        <f>资产负债表!C13</f>
        <v>7777</v>
      </c>
      <c r="D11" s="706" t="s">
        <v>120</v>
      </c>
      <c r="E11" s="641">
        <f>资产负债表!E16</f>
        <v>0</v>
      </c>
      <c r="F11" s="641">
        <f>资产负债表!F16</f>
        <v>0</v>
      </c>
    </row>
    <row r="12" ht="15.6" customHeight="1" spans="1:6">
      <c r="A12" s="706" t="s">
        <v>115</v>
      </c>
      <c r="B12" s="641">
        <f>资产负债表!B14</f>
        <v>6353</v>
      </c>
      <c r="C12" s="641">
        <f>资产负债表!C14</f>
        <v>6666</v>
      </c>
      <c r="D12" s="706" t="s">
        <v>128</v>
      </c>
      <c r="E12" s="641">
        <f>资产负债表!E20</f>
        <v>0</v>
      </c>
      <c r="F12" s="641">
        <f>资产负债表!F20</f>
        <v>0</v>
      </c>
    </row>
    <row r="13" ht="15.6" customHeight="1" spans="1:6">
      <c r="A13" s="706" t="s">
        <v>117</v>
      </c>
      <c r="B13" s="641">
        <f>资产负债表!B15</f>
        <v>0</v>
      </c>
      <c r="C13" s="641">
        <f>资产负债表!C15</f>
        <v>0</v>
      </c>
      <c r="D13" s="706" t="s">
        <v>130</v>
      </c>
      <c r="E13" s="641">
        <f>资产负债表!E21</f>
        <v>0</v>
      </c>
      <c r="F13" s="641">
        <f>资产负债表!F21</f>
        <v>0</v>
      </c>
    </row>
    <row r="14" ht="15.6" customHeight="1" spans="1:6">
      <c r="A14" s="706" t="s">
        <v>119</v>
      </c>
      <c r="B14" s="641">
        <f>资产负债表!B16</f>
        <v>333</v>
      </c>
      <c r="C14" s="641">
        <f>资产负债表!C16</f>
        <v>6666</v>
      </c>
      <c r="D14" s="707" t="s">
        <v>738</v>
      </c>
      <c r="E14" s="708"/>
      <c r="F14" s="708"/>
    </row>
    <row r="15" ht="15.6" customHeight="1" spans="1:6">
      <c r="A15" s="643" t="s">
        <v>739</v>
      </c>
      <c r="B15" s="641">
        <f>SUM(B6:B14)</f>
        <v>536318</v>
      </c>
      <c r="C15" s="641">
        <f>SUM(C6:C14)</f>
        <v>591744</v>
      </c>
      <c r="D15" s="643" t="s">
        <v>740</v>
      </c>
      <c r="E15" s="641">
        <f>SUM(E5:E14)</f>
        <v>12221</v>
      </c>
      <c r="F15" s="641">
        <f>SUM(F5:F14)</f>
        <v>69999</v>
      </c>
    </row>
    <row r="16" ht="15.6" customHeight="1" spans="1:6">
      <c r="A16" s="638" t="s">
        <v>741</v>
      </c>
      <c r="B16" s="644"/>
      <c r="C16" s="644"/>
      <c r="D16" s="638" t="s">
        <v>742</v>
      </c>
      <c r="E16" s="645"/>
      <c r="F16" s="645"/>
    </row>
    <row r="17" ht="15.6" customHeight="1" spans="1:6">
      <c r="A17" s="706" t="s">
        <v>743</v>
      </c>
      <c r="B17" s="641">
        <f>资产负债表!E8-E7</f>
        <v>66666</v>
      </c>
      <c r="C17" s="641">
        <f>资产负债表!F8-F7</f>
        <v>333333</v>
      </c>
      <c r="D17" s="706" t="s">
        <v>744</v>
      </c>
      <c r="E17" s="709"/>
      <c r="F17" s="709"/>
    </row>
    <row r="18" ht="15.6" customHeight="1" spans="1:6">
      <c r="A18" s="706" t="s">
        <v>106</v>
      </c>
      <c r="B18" s="641">
        <f>资产负债表!E9</f>
        <v>13313</v>
      </c>
      <c r="C18" s="641">
        <f>资产负债表!F9</f>
        <v>113444</v>
      </c>
      <c r="D18" s="706" t="s">
        <v>101</v>
      </c>
      <c r="E18" s="641">
        <f>资产负债表!B7</f>
        <v>13414</v>
      </c>
      <c r="F18" s="641">
        <f>资产负债表!C7</f>
        <v>14411</v>
      </c>
    </row>
    <row r="19" ht="15.6" customHeight="1" spans="1:6">
      <c r="A19" s="706" t="s">
        <v>108</v>
      </c>
      <c r="B19" s="641">
        <f>资产负债表!E10</f>
        <v>1333</v>
      </c>
      <c r="C19" s="641">
        <f>资产负债表!F10</f>
        <v>0</v>
      </c>
      <c r="D19" s="707" t="s">
        <v>745</v>
      </c>
      <c r="E19" s="708"/>
      <c r="F19" s="708"/>
    </row>
    <row r="20" ht="15.6" customHeight="1" spans="1:6">
      <c r="A20" s="706" t="s">
        <v>110</v>
      </c>
      <c r="B20" s="641">
        <f>资产负债表!E11</f>
        <v>13311</v>
      </c>
      <c r="C20" s="641">
        <f>资产负债表!F11</f>
        <v>1113</v>
      </c>
      <c r="D20" s="707" t="s">
        <v>746</v>
      </c>
      <c r="E20" s="708"/>
      <c r="F20" s="708"/>
    </row>
    <row r="21" ht="15.6" customHeight="1" spans="1:6">
      <c r="A21" s="706" t="s">
        <v>112</v>
      </c>
      <c r="B21" s="641">
        <f>资产负债表!E12</f>
        <v>1333</v>
      </c>
      <c r="C21" s="641">
        <f>资产负债表!F11</f>
        <v>1113</v>
      </c>
      <c r="D21" s="706" t="s">
        <v>109</v>
      </c>
      <c r="E21" s="641">
        <f>资产负债表!B11</f>
        <v>66666</v>
      </c>
      <c r="F21" s="641">
        <f>资产负债表!C11</f>
        <v>67777</v>
      </c>
    </row>
    <row r="22" ht="15.6" customHeight="1" spans="1:6">
      <c r="A22" s="706" t="s">
        <v>747</v>
      </c>
      <c r="B22" s="641">
        <f>资产负债表!E14-E10</f>
        <v>1313</v>
      </c>
      <c r="C22" s="641">
        <f>资产负债表!F14-F10</f>
        <v>1313</v>
      </c>
      <c r="D22" s="706" t="s">
        <v>125</v>
      </c>
      <c r="E22" s="641">
        <f>资产负债表!B19</f>
        <v>3333</v>
      </c>
      <c r="F22" s="641">
        <f>资产负债表!C19</f>
        <v>5355</v>
      </c>
    </row>
    <row r="23" ht="15.6" customHeight="1" spans="1:6">
      <c r="A23" s="706" t="s">
        <v>118</v>
      </c>
      <c r="B23" s="641">
        <f>资产负债表!E15</f>
        <v>1313</v>
      </c>
      <c r="C23" s="641">
        <f>资产负债表!F15</f>
        <v>13333</v>
      </c>
      <c r="D23" s="706" t="s">
        <v>127</v>
      </c>
      <c r="E23" s="641">
        <f>资产负债表!B20</f>
        <v>0</v>
      </c>
      <c r="F23" s="641">
        <f>资产负债表!C20</f>
        <v>0</v>
      </c>
    </row>
    <row r="24" ht="15.6" customHeight="1" spans="1:6">
      <c r="A24" s="706" t="s">
        <v>122</v>
      </c>
      <c r="B24" s="641">
        <f>资产负债表!E17</f>
        <v>0</v>
      </c>
      <c r="C24" s="641">
        <f>资产负债表!F17</f>
        <v>0</v>
      </c>
      <c r="D24" s="710"/>
      <c r="E24" s="711"/>
      <c r="F24" s="711"/>
    </row>
    <row r="25" ht="15.6" customHeight="1" spans="1:6">
      <c r="A25" s="643" t="s">
        <v>748</v>
      </c>
      <c r="B25" s="641">
        <f t="shared" ref="B25:F25" si="0">SUM(B17:B24)</f>
        <v>98582</v>
      </c>
      <c r="C25" s="641">
        <f t="shared" si="0"/>
        <v>463649</v>
      </c>
      <c r="D25" s="643" t="s">
        <v>749</v>
      </c>
      <c r="E25" s="641">
        <f t="shared" si="0"/>
        <v>83413</v>
      </c>
      <c r="F25" s="641">
        <f t="shared" si="0"/>
        <v>87543</v>
      </c>
    </row>
    <row r="26" ht="15.6" customHeight="1" spans="1:6">
      <c r="A26" s="643" t="s">
        <v>750</v>
      </c>
      <c r="B26" s="641">
        <f t="shared" ref="B26:F26" si="1">B15-B25</f>
        <v>437736</v>
      </c>
      <c r="C26" s="641">
        <f t="shared" si="1"/>
        <v>128095</v>
      </c>
      <c r="D26" s="643" t="s">
        <v>647</v>
      </c>
      <c r="E26" s="641">
        <f t="shared" si="1"/>
        <v>-71192</v>
      </c>
      <c r="F26" s="641">
        <f t="shared" si="1"/>
        <v>-17544</v>
      </c>
    </row>
    <row r="27" ht="15.6" customHeight="1" spans="1:6">
      <c r="A27" s="638" t="s">
        <v>751</v>
      </c>
      <c r="B27" s="644"/>
      <c r="C27" s="644"/>
      <c r="D27" s="712"/>
      <c r="E27" s="708"/>
      <c r="F27" s="708"/>
    </row>
    <row r="28" ht="15.6" customHeight="1" spans="1:6">
      <c r="A28" s="706" t="s">
        <v>131</v>
      </c>
      <c r="B28" s="641">
        <f>资产负债表!B22</f>
        <v>0</v>
      </c>
      <c r="C28" s="641">
        <f>资产负债表!C22</f>
        <v>0</v>
      </c>
      <c r="D28" s="712"/>
      <c r="E28" s="708"/>
      <c r="F28" s="708"/>
    </row>
    <row r="29" ht="15.6" customHeight="1" spans="1:6">
      <c r="A29" s="706" t="s">
        <v>129</v>
      </c>
      <c r="B29" s="641">
        <f>资产负债表!B21</f>
        <v>553</v>
      </c>
      <c r="C29" s="641">
        <f>资产负债表!C21</f>
        <v>353</v>
      </c>
      <c r="D29" s="712"/>
      <c r="E29" s="708"/>
      <c r="F29" s="708"/>
    </row>
    <row r="30" ht="15.6" customHeight="1" spans="1:6">
      <c r="A30" s="706" t="s">
        <v>133</v>
      </c>
      <c r="B30" s="641">
        <f>资产负债表!B23</f>
        <v>3535</v>
      </c>
      <c r="C30" s="641">
        <f>资产负债表!C23</f>
        <v>3535</v>
      </c>
      <c r="D30" s="712"/>
      <c r="E30" s="708"/>
      <c r="F30" s="708"/>
    </row>
    <row r="31" ht="15.6" customHeight="1" spans="1:6">
      <c r="A31" s="706" t="s">
        <v>135</v>
      </c>
      <c r="B31" s="641">
        <f>资产负债表!B24+资产负债表!B28+资产负债表!B29</f>
        <v>88888</v>
      </c>
      <c r="C31" s="641">
        <f>资产负债表!C25+资产负债表!C28+资产负债表!C29</f>
        <v>22</v>
      </c>
      <c r="D31" s="712"/>
      <c r="E31" s="708"/>
      <c r="F31" s="708"/>
    </row>
    <row r="32" ht="15.6" customHeight="1" spans="1:6">
      <c r="A32" s="706" t="s">
        <v>137</v>
      </c>
      <c r="B32" s="641">
        <f>资产负债表!B25</f>
        <v>22222</v>
      </c>
      <c r="C32" s="641">
        <f>资产负债表!C25</f>
        <v>22</v>
      </c>
      <c r="D32" s="712"/>
      <c r="E32" s="708"/>
      <c r="F32" s="708"/>
    </row>
    <row r="33" ht="15.6" customHeight="1" spans="1:6">
      <c r="A33" s="706" t="s">
        <v>139</v>
      </c>
      <c r="B33" s="641">
        <f>资产负债表!B26</f>
        <v>0</v>
      </c>
      <c r="C33" s="641">
        <f>资产负债表!C26</f>
        <v>335</v>
      </c>
      <c r="D33" s="712"/>
      <c r="E33" s="708"/>
      <c r="F33" s="708"/>
    </row>
    <row r="34" ht="15.6" customHeight="1" spans="1:6">
      <c r="A34" s="706" t="s">
        <v>141</v>
      </c>
      <c r="B34" s="641">
        <f>资产负债表!B27</f>
        <v>0</v>
      </c>
      <c r="C34" s="641">
        <f>资产负债表!C27</f>
        <v>0</v>
      </c>
      <c r="D34" s="712"/>
      <c r="E34" s="708"/>
      <c r="F34" s="708"/>
    </row>
    <row r="35" ht="15.6" customHeight="1" spans="1:6">
      <c r="A35" s="706" t="s">
        <v>147</v>
      </c>
      <c r="B35" s="641">
        <f>资产负债表!B30</f>
        <v>0</v>
      </c>
      <c r="C35" s="641">
        <f>资产负债表!C30</f>
        <v>0</v>
      </c>
      <c r="D35" s="712"/>
      <c r="E35" s="708"/>
      <c r="F35" s="708"/>
    </row>
    <row r="36" ht="15.6" customHeight="1" spans="1:6">
      <c r="A36" s="706" t="s">
        <v>149</v>
      </c>
      <c r="B36" s="641">
        <f>资产负债表!B31</f>
        <v>0</v>
      </c>
      <c r="C36" s="641">
        <f>资产负债表!C31</f>
        <v>0</v>
      </c>
      <c r="D36" s="712"/>
      <c r="E36" s="708"/>
      <c r="F36" s="708"/>
    </row>
    <row r="37" ht="15.6" customHeight="1" spans="1:6">
      <c r="A37" s="706" t="s">
        <v>151</v>
      </c>
      <c r="B37" s="641">
        <f>资产负债表!B32</f>
        <v>0</v>
      </c>
      <c r="C37" s="641">
        <f>资产负债表!C32</f>
        <v>0</v>
      </c>
      <c r="D37" s="712"/>
      <c r="E37" s="708"/>
      <c r="F37" s="708"/>
    </row>
    <row r="38" ht="15.6" customHeight="1" spans="1:6">
      <c r="A38" s="706" t="s">
        <v>153</v>
      </c>
      <c r="B38" s="641">
        <f>资产负债表!B33</f>
        <v>0</v>
      </c>
      <c r="C38" s="641">
        <f>资产负债表!C33</f>
        <v>0</v>
      </c>
      <c r="D38" s="712"/>
      <c r="E38" s="708"/>
      <c r="F38" s="708"/>
    </row>
    <row r="39" ht="15.6" customHeight="1" spans="1:6">
      <c r="A39" s="706" t="s">
        <v>155</v>
      </c>
      <c r="B39" s="641">
        <f>资产负债表!B34</f>
        <v>0</v>
      </c>
      <c r="C39" s="641">
        <f>资产负债表!C34</f>
        <v>0</v>
      </c>
      <c r="D39" s="712"/>
      <c r="E39" s="708"/>
      <c r="F39" s="708"/>
    </row>
    <row r="40" ht="15.6" customHeight="1" spans="1:6">
      <c r="A40" s="706" t="s">
        <v>157</v>
      </c>
      <c r="B40" s="641">
        <f>资产负债表!B35</f>
        <v>0</v>
      </c>
      <c r="C40" s="641">
        <f>资产负债表!C35</f>
        <v>0</v>
      </c>
      <c r="D40" s="712"/>
      <c r="E40" s="708"/>
      <c r="F40" s="708"/>
    </row>
    <row r="41" ht="15.6" customHeight="1" spans="1:6">
      <c r="A41" s="643" t="s">
        <v>752</v>
      </c>
      <c r="B41" s="641">
        <f>SUM(B28:B40)</f>
        <v>115198</v>
      </c>
      <c r="C41" s="641">
        <f>SUM(C28:C40)</f>
        <v>4267</v>
      </c>
      <c r="D41" s="712"/>
      <c r="E41" s="708"/>
      <c r="F41" s="708"/>
    </row>
    <row r="42" ht="15.6" customHeight="1" spans="1:6">
      <c r="A42" s="638" t="s">
        <v>753</v>
      </c>
      <c r="B42" s="644"/>
      <c r="C42" s="644"/>
      <c r="D42" s="638" t="s">
        <v>754</v>
      </c>
      <c r="E42" s="645"/>
      <c r="F42" s="645"/>
    </row>
    <row r="43" ht="15.6" customHeight="1" spans="1:6">
      <c r="A43" s="706" t="s">
        <v>755</v>
      </c>
      <c r="B43" s="641">
        <f>资产负债表!E22-E14</f>
        <v>0</v>
      </c>
      <c r="C43" s="641">
        <f>资产负债表!F22-F14</f>
        <v>0</v>
      </c>
      <c r="D43" s="706" t="s">
        <v>756</v>
      </c>
      <c r="E43" s="641">
        <f>资产负债表!E30</f>
        <v>333333</v>
      </c>
      <c r="F43" s="641">
        <f>资产负债表!F30</f>
        <v>333333</v>
      </c>
    </row>
    <row r="44" ht="15.6" customHeight="1" spans="1:6">
      <c r="A44" s="706" t="s">
        <v>134</v>
      </c>
      <c r="B44" s="641">
        <f>资产负债表!E23</f>
        <v>0</v>
      </c>
      <c r="C44" s="641">
        <f>资产负债表!F23</f>
        <v>0</v>
      </c>
      <c r="D44" s="706" t="s">
        <v>150</v>
      </c>
      <c r="E44" s="641">
        <f>资产负债表!E31</f>
        <v>0</v>
      </c>
      <c r="F44" s="641">
        <f>资产负债表!F31</f>
        <v>0</v>
      </c>
    </row>
    <row r="45" ht="15.6" customHeight="1" spans="1:6">
      <c r="A45" s="706" t="s">
        <v>136</v>
      </c>
      <c r="B45" s="641">
        <f>资产负债表!E24</f>
        <v>0</v>
      </c>
      <c r="C45" s="641">
        <f>资产负债表!F24</f>
        <v>0</v>
      </c>
      <c r="D45" s="706" t="s">
        <v>757</v>
      </c>
      <c r="E45" s="641">
        <f>资产负债表!E32</f>
        <v>0</v>
      </c>
      <c r="F45" s="641">
        <f>资产负债表!F32</f>
        <v>0</v>
      </c>
    </row>
    <row r="46" ht="15.6" customHeight="1" spans="1:6">
      <c r="A46" s="706" t="s">
        <v>138</v>
      </c>
      <c r="B46" s="641">
        <f>资产负债表!E25</f>
        <v>0</v>
      </c>
      <c r="C46" s="641">
        <f>资产负债表!F25</f>
        <v>0</v>
      </c>
      <c r="D46" s="706" t="s">
        <v>154</v>
      </c>
      <c r="E46" s="641">
        <f>资产负债表!E33</f>
        <v>0</v>
      </c>
      <c r="F46" s="641">
        <f>资产负债表!F33</f>
        <v>0</v>
      </c>
    </row>
    <row r="47" ht="15.6" customHeight="1" spans="1:6">
      <c r="A47" s="706" t="s">
        <v>140</v>
      </c>
      <c r="B47" s="641">
        <f>资产负债表!E26</f>
        <v>0</v>
      </c>
      <c r="C47" s="641">
        <f>资产负债表!F26</f>
        <v>0</v>
      </c>
      <c r="D47" s="706" t="s">
        <v>156</v>
      </c>
      <c r="E47" s="641">
        <f>资产负债表!E34</f>
        <v>0</v>
      </c>
      <c r="F47" s="641">
        <f>资产负债表!F34</f>
        <v>0</v>
      </c>
    </row>
    <row r="48" ht="15.6" customHeight="1" spans="1:6">
      <c r="A48" s="643" t="s">
        <v>758</v>
      </c>
      <c r="B48" s="641">
        <f>SUM(B43:B47)</f>
        <v>0</v>
      </c>
      <c r="C48" s="641">
        <f>SUM(C43:C47)</f>
        <v>0</v>
      </c>
      <c r="D48" s="710"/>
      <c r="E48" s="708"/>
      <c r="F48" s="708"/>
    </row>
    <row r="49" ht="15.6" customHeight="1" spans="1:6">
      <c r="A49" s="643" t="s">
        <v>759</v>
      </c>
      <c r="B49" s="641">
        <f>B41-B48</f>
        <v>115198</v>
      </c>
      <c r="C49" s="641">
        <f>C41-C48</f>
        <v>4267</v>
      </c>
      <c r="D49" s="643" t="s">
        <v>760</v>
      </c>
      <c r="E49" s="641">
        <f>E43+E44-E45+E46+E47</f>
        <v>333333</v>
      </c>
      <c r="F49" s="641">
        <f>F43+F44-F45+F46+F47</f>
        <v>333333</v>
      </c>
    </row>
    <row r="50" ht="15.6" customHeight="1" spans="1:6">
      <c r="A50" s="643" t="s">
        <v>761</v>
      </c>
      <c r="B50" s="641">
        <f t="shared" ref="B50:F50" si="2">B26+B49</f>
        <v>552934</v>
      </c>
      <c r="C50" s="641">
        <f t="shared" si="2"/>
        <v>132362</v>
      </c>
      <c r="D50" s="643" t="s">
        <v>762</v>
      </c>
      <c r="E50" s="641">
        <f t="shared" si="2"/>
        <v>262141</v>
      </c>
      <c r="F50" s="641">
        <f t="shared" si="2"/>
        <v>315789</v>
      </c>
    </row>
  </sheetData>
  <mergeCells count="2">
    <mergeCell ref="A1:F1"/>
    <mergeCell ref="C2:D2"/>
  </mergeCells>
  <printOptions horizontalCentered="1"/>
  <pageMargins left="0.55" right="0.55" top="0.588888888888889" bottom="0.588888888888889" header="0.509027777777778" footer="0.509027777777778"/>
  <pageSetup paperSize="9" scale="90" orientation="portrait"/>
  <headerFooter alignWithMargins="0" scaleWithDoc="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C27"/>
  <sheetViews>
    <sheetView zoomScale="90" zoomScaleNormal="90" workbookViewId="0">
      <selection activeCell="L11" sqref="L11"/>
    </sheetView>
  </sheetViews>
  <sheetFormatPr defaultColWidth="8" defaultRowHeight="16.5" outlineLevelCol="2"/>
  <cols>
    <col min="1" max="3" width="34.75" style="693" customWidth="1"/>
    <col min="4" max="16384" width="8" style="693"/>
  </cols>
  <sheetData>
    <row r="1" s="690" customFormat="1" ht="30" customHeight="1" spans="1:3">
      <c r="A1" s="620" t="s">
        <v>763</v>
      </c>
      <c r="B1" s="620"/>
      <c r="C1" s="620"/>
    </row>
    <row r="2" s="691" customFormat="1" spans="2:3">
      <c r="B2" s="694" t="s">
        <v>764</v>
      </c>
      <c r="C2" s="695" t="s">
        <v>198</v>
      </c>
    </row>
    <row r="3" s="692" customFormat="1" spans="1:3">
      <c r="A3" s="623" t="s">
        <v>409</v>
      </c>
      <c r="B3" s="623" t="s">
        <v>169</v>
      </c>
      <c r="C3" s="623" t="s">
        <v>170</v>
      </c>
    </row>
    <row r="4" spans="1:3">
      <c r="A4" s="624" t="s">
        <v>765</v>
      </c>
      <c r="B4" s="625"/>
      <c r="C4" s="625"/>
    </row>
    <row r="5" spans="1:3">
      <c r="A5" s="696" t="s">
        <v>766</v>
      </c>
      <c r="B5" s="627">
        <f>利润表!B5</f>
        <v>300000</v>
      </c>
      <c r="C5" s="627">
        <f>利润表!C5</f>
        <v>160000</v>
      </c>
    </row>
    <row r="6" spans="1:3">
      <c r="A6" s="697" t="s">
        <v>767</v>
      </c>
      <c r="B6" s="627">
        <f>利润表!B6</f>
        <v>55552</v>
      </c>
      <c r="C6" s="627">
        <f>利润表!C6</f>
        <v>34441</v>
      </c>
    </row>
    <row r="7" spans="1:3">
      <c r="A7" s="696" t="s">
        <v>768</v>
      </c>
      <c r="B7" s="627">
        <f>B5-B6</f>
        <v>244448</v>
      </c>
      <c r="C7" s="627">
        <f>C5-C6</f>
        <v>125559</v>
      </c>
    </row>
    <row r="8" spans="1:3">
      <c r="A8" s="697" t="s">
        <v>769</v>
      </c>
      <c r="B8" s="627">
        <f>利润表!B7</f>
        <v>1334</v>
      </c>
      <c r="C8" s="627">
        <f>利润表!C7</f>
        <v>424</v>
      </c>
    </row>
    <row r="9" spans="1:3">
      <c r="A9" s="697" t="s">
        <v>770</v>
      </c>
      <c r="B9" s="627">
        <f>利润表!B8</f>
        <v>34111</v>
      </c>
      <c r="C9" s="627">
        <f>利润表!C8</f>
        <v>13411</v>
      </c>
    </row>
    <row r="10" spans="1:3">
      <c r="A10" s="697" t="s">
        <v>771</v>
      </c>
      <c r="B10" s="627">
        <f>利润表!B9</f>
        <v>23444</v>
      </c>
      <c r="C10" s="627">
        <f>利润表!C9</f>
        <v>22222</v>
      </c>
    </row>
    <row r="11" spans="1:3">
      <c r="A11" s="697" t="s">
        <v>772</v>
      </c>
      <c r="B11" s="627">
        <f>利润表!B10</f>
        <v>26000</v>
      </c>
      <c r="C11" s="627">
        <f>利润表!C10</f>
        <v>32422</v>
      </c>
    </row>
    <row r="12" spans="1:3">
      <c r="A12" s="697" t="s">
        <v>773</v>
      </c>
      <c r="B12" s="627">
        <f>利润表!B11</f>
        <v>0</v>
      </c>
      <c r="C12" s="684"/>
    </row>
    <row r="13" spans="1:3">
      <c r="A13" s="697" t="s">
        <v>774</v>
      </c>
      <c r="B13" s="684"/>
      <c r="C13" s="684"/>
    </row>
    <row r="14" spans="1:3">
      <c r="A14" s="697" t="s">
        <v>775</v>
      </c>
      <c r="B14" s="684"/>
      <c r="C14" s="684"/>
    </row>
    <row r="15" spans="1:3">
      <c r="A15" s="696" t="s">
        <v>776</v>
      </c>
      <c r="B15" s="627">
        <f>B7+B13+B14-SUM(B8:B12)</f>
        <v>159559</v>
      </c>
      <c r="C15" s="627">
        <f>C7+C13+C14-SUM(C8:C12)</f>
        <v>57080</v>
      </c>
    </row>
    <row r="16" spans="1:3">
      <c r="A16" s="697" t="s">
        <v>777</v>
      </c>
      <c r="B16" s="627">
        <f>利润表!B16</f>
        <v>0</v>
      </c>
      <c r="C16" s="627">
        <f>利润表!C16</f>
        <v>0</v>
      </c>
    </row>
    <row r="17" spans="1:3">
      <c r="A17" s="697" t="s">
        <v>778</v>
      </c>
      <c r="B17" s="627">
        <f>利润表!B17</f>
        <v>0</v>
      </c>
      <c r="C17" s="627">
        <f>利润表!C17</f>
        <v>0</v>
      </c>
    </row>
    <row r="18" spans="1:3">
      <c r="A18" s="696" t="s">
        <v>779</v>
      </c>
      <c r="B18" s="627">
        <f>B15+B16-B17</f>
        <v>159559</v>
      </c>
      <c r="C18" s="627">
        <f>C15+C16-C17</f>
        <v>57080</v>
      </c>
    </row>
    <row r="19" spans="1:3">
      <c r="A19" s="697" t="s">
        <v>780</v>
      </c>
      <c r="B19" s="627">
        <f>B18*B26</f>
        <v>666</v>
      </c>
      <c r="C19" s="627">
        <f>C18*C26</f>
        <v>0</v>
      </c>
    </row>
    <row r="20" spans="1:3">
      <c r="A20" s="626" t="s">
        <v>781</v>
      </c>
      <c r="B20" s="627">
        <f>B18-B19</f>
        <v>158893</v>
      </c>
      <c r="C20" s="627">
        <f>C18-C19</f>
        <v>57080</v>
      </c>
    </row>
    <row r="21" spans="1:3">
      <c r="A21" s="624" t="s">
        <v>782</v>
      </c>
      <c r="B21" s="625"/>
      <c r="C21" s="625"/>
    </row>
    <row r="22" spans="1:3">
      <c r="A22" s="696" t="s">
        <v>783</v>
      </c>
      <c r="B22" s="698"/>
      <c r="C22" s="698"/>
    </row>
    <row r="23" spans="1:3">
      <c r="A23" s="697" t="s">
        <v>784</v>
      </c>
      <c r="B23" s="627">
        <f>B22*B26</f>
        <v>0</v>
      </c>
      <c r="C23" s="627">
        <f>C22*C26</f>
        <v>0</v>
      </c>
    </row>
    <row r="24" spans="1:3">
      <c r="A24" s="696" t="s">
        <v>785</v>
      </c>
      <c r="B24" s="627">
        <f>B22-B23</f>
        <v>0</v>
      </c>
      <c r="C24" s="627">
        <f>C22-C23</f>
        <v>0</v>
      </c>
    </row>
    <row r="25" spans="1:3">
      <c r="A25" s="696" t="s">
        <v>786</v>
      </c>
      <c r="B25" s="627">
        <f>B20-B24</f>
        <v>158893</v>
      </c>
      <c r="C25" s="627">
        <f>C20-C24</f>
        <v>57080</v>
      </c>
    </row>
    <row r="26" spans="1:3">
      <c r="A26" s="626" t="s">
        <v>787</v>
      </c>
      <c r="B26" s="629">
        <f>利润表!B20/利润表!B19</f>
        <v>0.00417400460017924</v>
      </c>
      <c r="C26" s="629">
        <f>利润表!C20/利润表!C19</f>
        <v>0</v>
      </c>
    </row>
    <row r="27" ht="24.95" customHeight="1" spans="1:3">
      <c r="A27" s="699"/>
      <c r="B27" s="699"/>
      <c r="C27" s="699"/>
    </row>
  </sheetData>
  <mergeCells count="1">
    <mergeCell ref="A1:C1"/>
  </mergeCells>
  <printOptions horizontalCentered="1"/>
  <pageMargins left="0.75" right="0.75" top="0.788888888888889" bottom="0.788888888888889" header="0.509027777777778" footer="0.509027777777778"/>
  <pageSetup paperSize="256" orientation="portrait"/>
  <headerFooter alignWithMargins="0" scaleWithDoc="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J56"/>
  <sheetViews>
    <sheetView zoomScale="90" zoomScaleNormal="90" workbookViewId="0">
      <pane xSplit="1" ySplit="2" topLeftCell="B3" activePane="bottomRight" state="frozen"/>
      <selection/>
      <selection pane="topRight"/>
      <selection pane="bottomLeft"/>
      <selection pane="bottomRight" activeCell="C37" sqref="C37"/>
    </sheetView>
  </sheetViews>
  <sheetFormatPr defaultColWidth="9" defaultRowHeight="17.25"/>
  <cols>
    <col min="1" max="1" width="5.625" style="1128" customWidth="1"/>
    <col min="2" max="2" width="33.75" style="1128" customWidth="1"/>
    <col min="3" max="3" width="46.625" style="552" customWidth="1"/>
    <col min="4" max="4" width="20.75" style="553" customWidth="1"/>
    <col min="5" max="16384" width="9" style="553"/>
  </cols>
  <sheetData>
    <row r="1" ht="29.25" spans="1:4">
      <c r="A1" s="1129" t="s">
        <v>25</v>
      </c>
      <c r="B1" s="1129"/>
      <c r="C1" s="1129"/>
      <c r="D1" s="1129"/>
    </row>
    <row r="2" ht="18" spans="1:4">
      <c r="A2" s="1130" t="s">
        <v>26</v>
      </c>
      <c r="B2" s="1131" t="s">
        <v>27</v>
      </c>
      <c r="C2" s="1132" t="s">
        <v>28</v>
      </c>
      <c r="D2" s="1133" t="s">
        <v>29</v>
      </c>
    </row>
    <row r="3" ht="18" spans="1:4">
      <c r="A3" s="1134">
        <v>1</v>
      </c>
      <c r="B3" s="1135" t="s">
        <v>1</v>
      </c>
      <c r="C3" s="1136" t="s">
        <v>30</v>
      </c>
      <c r="D3" s="1137" t="s">
        <v>31</v>
      </c>
    </row>
    <row r="4" ht="18" spans="1:4">
      <c r="A4" s="1134">
        <v>2</v>
      </c>
      <c r="B4" s="1135" t="s">
        <v>32</v>
      </c>
      <c r="C4" s="1136" t="s">
        <v>2</v>
      </c>
      <c r="D4" s="1138"/>
    </row>
    <row r="5" ht="18" spans="1:4">
      <c r="A5" s="1134">
        <v>3</v>
      </c>
      <c r="B5" s="1135" t="s">
        <v>5</v>
      </c>
      <c r="C5" s="1136" t="s">
        <v>5</v>
      </c>
      <c r="D5" s="1138"/>
    </row>
    <row r="6" ht="18" spans="1:4">
      <c r="A6" s="1134">
        <v>4</v>
      </c>
      <c r="B6" s="1135" t="s">
        <v>33</v>
      </c>
      <c r="C6" s="1136" t="s">
        <v>7</v>
      </c>
      <c r="D6" s="1138"/>
    </row>
    <row r="7" ht="18" spans="1:4">
      <c r="A7" s="1134">
        <v>5</v>
      </c>
      <c r="B7" s="1135" t="s">
        <v>9</v>
      </c>
      <c r="C7" s="1136" t="s">
        <v>9</v>
      </c>
      <c r="D7" s="1138"/>
    </row>
    <row r="8" ht="18" spans="1:4">
      <c r="A8" s="1134">
        <v>6</v>
      </c>
      <c r="B8" s="1135" t="s">
        <v>10</v>
      </c>
      <c r="C8" s="1136" t="s">
        <v>10</v>
      </c>
      <c r="D8" s="1138"/>
    </row>
    <row r="9" ht="18" spans="1:4">
      <c r="A9" s="1134">
        <v>7</v>
      </c>
      <c r="B9" s="1135" t="s">
        <v>13</v>
      </c>
      <c r="C9" s="1136" t="s">
        <v>13</v>
      </c>
      <c r="D9" s="1138"/>
    </row>
    <row r="10" ht="18" spans="1:4">
      <c r="A10" s="1134">
        <v>8</v>
      </c>
      <c r="B10" s="1135" t="s">
        <v>15</v>
      </c>
      <c r="C10" s="1136" t="s">
        <v>15</v>
      </c>
      <c r="D10" s="1138"/>
    </row>
    <row r="11" ht="18" spans="1:10">
      <c r="A11" s="1134">
        <v>9</v>
      </c>
      <c r="B11" s="1135" t="s">
        <v>34</v>
      </c>
      <c r="C11" s="1136" t="s">
        <v>17</v>
      </c>
      <c r="D11" s="1138"/>
      <c r="J11" s="551"/>
    </row>
    <row r="12" ht="18" spans="1:4">
      <c r="A12" s="1134">
        <v>10</v>
      </c>
      <c r="B12" s="1135" t="s">
        <v>35</v>
      </c>
      <c r="C12" s="1136" t="s">
        <v>18</v>
      </c>
      <c r="D12" s="1138"/>
    </row>
    <row r="13" ht="18" spans="1:4">
      <c r="A13" s="1134">
        <v>11</v>
      </c>
      <c r="B13" s="1135" t="s">
        <v>36</v>
      </c>
      <c r="C13" s="1136" t="s">
        <v>37</v>
      </c>
      <c r="D13" s="1138"/>
    </row>
    <row r="14" ht="18" spans="1:4">
      <c r="A14" s="1134">
        <v>12</v>
      </c>
      <c r="B14" s="1135" t="s">
        <v>38</v>
      </c>
      <c r="C14" s="1136" t="s">
        <v>21</v>
      </c>
      <c r="D14" s="1138"/>
    </row>
    <row r="15" ht="18" spans="1:4">
      <c r="A15" s="1134">
        <v>13</v>
      </c>
      <c r="B15" s="1135" t="s">
        <v>39</v>
      </c>
      <c r="C15" s="1136" t="s">
        <v>23</v>
      </c>
      <c r="D15" s="1138"/>
    </row>
    <row r="16" ht="18" spans="1:4">
      <c r="A16" s="1134">
        <v>14</v>
      </c>
      <c r="B16" s="1135" t="s">
        <v>40</v>
      </c>
      <c r="C16" s="1136" t="s">
        <v>3</v>
      </c>
      <c r="D16" s="1138"/>
    </row>
    <row r="17" ht="18" spans="1:4">
      <c r="A17" s="1134">
        <v>15</v>
      </c>
      <c r="B17" s="1135" t="s">
        <v>41</v>
      </c>
      <c r="C17" s="1136" t="s">
        <v>4</v>
      </c>
      <c r="D17" s="1138"/>
    </row>
    <row r="18" ht="18" spans="1:4">
      <c r="A18" s="1134">
        <v>16</v>
      </c>
      <c r="B18" s="1135" t="s">
        <v>6</v>
      </c>
      <c r="C18" s="1136" t="s">
        <v>6</v>
      </c>
      <c r="D18" s="1138"/>
    </row>
    <row r="19" ht="18" spans="1:4">
      <c r="A19" s="1134">
        <v>17</v>
      </c>
      <c r="B19" s="1135" t="s">
        <v>42</v>
      </c>
      <c r="C19" s="1136" t="s">
        <v>8</v>
      </c>
      <c r="D19" s="1138"/>
    </row>
    <row r="20" ht="18" spans="1:4">
      <c r="A20" s="1134">
        <v>18</v>
      </c>
      <c r="B20" s="1135" t="s">
        <v>43</v>
      </c>
      <c r="C20" s="1139" t="s">
        <v>11</v>
      </c>
      <c r="D20" s="1138"/>
    </row>
    <row r="21" ht="18" spans="1:4">
      <c r="A21" s="1134">
        <v>19</v>
      </c>
      <c r="B21" s="1135" t="s">
        <v>44</v>
      </c>
      <c r="C21" s="1139" t="s">
        <v>12</v>
      </c>
      <c r="D21" s="1138"/>
    </row>
    <row r="22" ht="18" spans="1:4">
      <c r="A22" s="1134">
        <v>20</v>
      </c>
      <c r="B22" s="1135" t="s">
        <v>45</v>
      </c>
      <c r="C22" s="1139" t="s">
        <v>14</v>
      </c>
      <c r="D22" s="1138"/>
    </row>
    <row r="23" ht="18" spans="1:4">
      <c r="A23" s="1134">
        <v>21</v>
      </c>
      <c r="B23" s="1135" t="s">
        <v>46</v>
      </c>
      <c r="C23" s="1139" t="s">
        <v>16</v>
      </c>
      <c r="D23" s="1138"/>
    </row>
    <row r="24" ht="18" spans="1:4">
      <c r="A24" s="1134">
        <v>22</v>
      </c>
      <c r="B24" s="1135" t="s">
        <v>47</v>
      </c>
      <c r="C24" s="1140" t="s">
        <v>19</v>
      </c>
      <c r="D24" s="1138"/>
    </row>
    <row r="25" ht="18" spans="1:4">
      <c r="A25" s="1134">
        <v>23</v>
      </c>
      <c r="B25" s="1135" t="s">
        <v>48</v>
      </c>
      <c r="C25" s="1140" t="s">
        <v>49</v>
      </c>
      <c r="D25" s="1138"/>
    </row>
    <row r="26" ht="18" spans="1:4">
      <c r="A26" s="1134">
        <v>24</v>
      </c>
      <c r="B26" s="1135" t="s">
        <v>50</v>
      </c>
      <c r="C26" s="1141" t="s">
        <v>22</v>
      </c>
      <c r="D26" s="1138"/>
    </row>
    <row r="27" ht="18" spans="1:4">
      <c r="A27" s="1134">
        <v>25</v>
      </c>
      <c r="B27" s="1135" t="s">
        <v>51</v>
      </c>
      <c r="C27" s="1141" t="s">
        <v>20</v>
      </c>
      <c r="D27" s="1138"/>
    </row>
    <row r="28" ht="18" spans="1:4">
      <c r="A28" s="1134">
        <v>26</v>
      </c>
      <c r="B28" s="1135" t="s">
        <v>52</v>
      </c>
      <c r="C28" s="1140" t="s">
        <v>53</v>
      </c>
      <c r="D28" s="1138"/>
    </row>
    <row r="29" ht="18" spans="1:4">
      <c r="A29" s="1134">
        <v>27</v>
      </c>
      <c r="B29" s="1135" t="s">
        <v>54</v>
      </c>
      <c r="C29" s="1140" t="s">
        <v>55</v>
      </c>
      <c r="D29" s="1138"/>
    </row>
    <row r="30" ht="18" spans="1:4">
      <c r="A30" s="1134">
        <v>28</v>
      </c>
      <c r="B30" s="1135" t="s">
        <v>56</v>
      </c>
      <c r="C30" s="1141" t="s">
        <v>57</v>
      </c>
      <c r="D30" s="1138"/>
    </row>
    <row r="31" ht="18" spans="1:4">
      <c r="A31" s="1134">
        <v>29</v>
      </c>
      <c r="B31" s="1135" t="s">
        <v>58</v>
      </c>
      <c r="C31" s="1141" t="s">
        <v>59</v>
      </c>
      <c r="D31" s="1138"/>
    </row>
    <row r="32" ht="18" spans="1:4">
      <c r="A32" s="1134">
        <v>30</v>
      </c>
      <c r="B32" s="1135" t="s">
        <v>60</v>
      </c>
      <c r="C32" s="1140" t="s">
        <v>61</v>
      </c>
      <c r="D32" s="1138"/>
    </row>
    <row r="33" ht="18" spans="1:4">
      <c r="A33" s="1134">
        <v>31</v>
      </c>
      <c r="B33" s="1135" t="s">
        <v>56</v>
      </c>
      <c r="C33" s="1136" t="s">
        <v>57</v>
      </c>
      <c r="D33" s="1138"/>
    </row>
    <row r="34" ht="18" spans="1:4">
      <c r="A34" s="1134">
        <v>32</v>
      </c>
      <c r="B34" s="1135" t="s">
        <v>58</v>
      </c>
      <c r="C34" s="1139" t="s">
        <v>59</v>
      </c>
      <c r="D34" s="1138"/>
    </row>
    <row r="35" ht="18" spans="1:4">
      <c r="A35" s="1134">
        <v>33</v>
      </c>
      <c r="B35" s="1135" t="s">
        <v>60</v>
      </c>
      <c r="C35" s="1136" t="s">
        <v>61</v>
      </c>
      <c r="D35" s="1138"/>
    </row>
    <row r="36" ht="18" spans="1:4">
      <c r="A36" s="1134">
        <v>34</v>
      </c>
      <c r="B36" s="1135" t="s">
        <v>62</v>
      </c>
      <c r="C36" s="1136" t="s">
        <v>63</v>
      </c>
      <c r="D36" s="1138"/>
    </row>
    <row r="37" ht="18" spans="1:4">
      <c r="A37" s="1134">
        <v>35</v>
      </c>
      <c r="B37" s="1135" t="s">
        <v>64</v>
      </c>
      <c r="C37" s="1136" t="s">
        <v>65</v>
      </c>
      <c r="D37" s="1138"/>
    </row>
    <row r="38" ht="18" spans="1:4">
      <c r="A38" s="1134">
        <v>36</v>
      </c>
      <c r="B38" s="1135" t="s">
        <v>66</v>
      </c>
      <c r="C38" s="1136" t="s">
        <v>67</v>
      </c>
      <c r="D38" s="1138"/>
    </row>
    <row r="39" ht="18" spans="1:4">
      <c r="A39" s="1134">
        <v>37</v>
      </c>
      <c r="B39" s="1135" t="s">
        <v>68</v>
      </c>
      <c r="C39" s="1136" t="s">
        <v>68</v>
      </c>
      <c r="D39" s="1138"/>
    </row>
    <row r="40" ht="18" spans="1:4">
      <c r="A40" s="1134">
        <v>38</v>
      </c>
      <c r="B40" s="1135" t="s">
        <v>69</v>
      </c>
      <c r="C40" s="1136" t="s">
        <v>70</v>
      </c>
      <c r="D40" s="1138"/>
    </row>
    <row r="41" ht="18" spans="1:4">
      <c r="A41" s="1134">
        <v>39</v>
      </c>
      <c r="B41" s="1135" t="s">
        <v>71</v>
      </c>
      <c r="C41" s="1139" t="s">
        <v>72</v>
      </c>
      <c r="D41" s="1138"/>
    </row>
    <row r="42" ht="18" spans="1:4">
      <c r="A42" s="1134">
        <v>40</v>
      </c>
      <c r="B42" s="1135" t="s">
        <v>73</v>
      </c>
      <c r="C42" s="1136" t="s">
        <v>74</v>
      </c>
      <c r="D42" s="1138"/>
    </row>
    <row r="43" ht="18" spans="1:4">
      <c r="A43" s="1134">
        <v>41</v>
      </c>
      <c r="B43" s="1135" t="s">
        <v>75</v>
      </c>
      <c r="C43" s="1139" t="s">
        <v>76</v>
      </c>
      <c r="D43" s="1138"/>
    </row>
    <row r="44" ht="18" spans="1:4">
      <c r="A44" s="1134">
        <v>42</v>
      </c>
      <c r="B44" s="1142" t="s">
        <v>77</v>
      </c>
      <c r="C44" s="1143" t="s">
        <v>77</v>
      </c>
      <c r="D44" s="1138"/>
    </row>
    <row r="45" ht="18" spans="1:4">
      <c r="A45" s="1134">
        <v>43</v>
      </c>
      <c r="B45" s="1142" t="s">
        <v>78</v>
      </c>
      <c r="C45" s="1144" t="s">
        <v>78</v>
      </c>
      <c r="D45" s="1138"/>
    </row>
    <row r="46" ht="18" spans="1:4">
      <c r="A46" s="1134">
        <v>44</v>
      </c>
      <c r="B46" s="1142" t="s">
        <v>79</v>
      </c>
      <c r="C46" s="1144" t="s">
        <v>79</v>
      </c>
      <c r="D46" s="1138"/>
    </row>
    <row r="47" ht="18" spans="1:4">
      <c r="A47" s="1134">
        <v>45</v>
      </c>
      <c r="B47" s="1142" t="s">
        <v>80</v>
      </c>
      <c r="C47" s="1143" t="s">
        <v>80</v>
      </c>
      <c r="D47" s="1138"/>
    </row>
    <row r="48" ht="18" spans="1:4">
      <c r="A48" s="1134">
        <v>46</v>
      </c>
      <c r="B48" s="1142" t="s">
        <v>81</v>
      </c>
      <c r="C48" s="1144" t="s">
        <v>81</v>
      </c>
      <c r="D48" s="1138"/>
    </row>
    <row r="49" ht="18" spans="1:4">
      <c r="A49" s="1134">
        <v>47</v>
      </c>
      <c r="B49" s="1142" t="s">
        <v>82</v>
      </c>
      <c r="C49" s="1144" t="s">
        <v>82</v>
      </c>
      <c r="D49" s="1138"/>
    </row>
    <row r="50" ht="18" spans="1:4">
      <c r="A50" s="1134">
        <v>48</v>
      </c>
      <c r="B50" s="1142" t="s">
        <v>83</v>
      </c>
      <c r="C50" s="1144" t="s">
        <v>83</v>
      </c>
      <c r="D50" s="1138"/>
    </row>
    <row r="51" ht="18" spans="1:4">
      <c r="A51" s="1134">
        <v>49</v>
      </c>
      <c r="B51" s="1142" t="s">
        <v>84</v>
      </c>
      <c r="C51" s="1144" t="s">
        <v>84</v>
      </c>
      <c r="D51" s="1138"/>
    </row>
    <row r="52" ht="18" spans="1:4">
      <c r="A52" s="1134">
        <v>50</v>
      </c>
      <c r="B52" s="1142" t="s">
        <v>85</v>
      </c>
      <c r="C52" s="1144" t="s">
        <v>85</v>
      </c>
      <c r="D52" s="1138"/>
    </row>
    <row r="53" ht="18" spans="1:4">
      <c r="A53" s="1134">
        <v>51</v>
      </c>
      <c r="B53" s="1142" t="s">
        <v>86</v>
      </c>
      <c r="C53" s="1144" t="s">
        <v>86</v>
      </c>
      <c r="D53" s="1138"/>
    </row>
    <row r="54" ht="18" spans="1:4">
      <c r="A54" s="1134">
        <v>52</v>
      </c>
      <c r="B54" s="1142" t="s">
        <v>87</v>
      </c>
      <c r="C54" s="1144" t="s">
        <v>87</v>
      </c>
      <c r="D54" s="1138"/>
    </row>
    <row r="55" ht="18" spans="1:4">
      <c r="A55" s="1134">
        <v>53</v>
      </c>
      <c r="B55" s="1142" t="s">
        <v>88</v>
      </c>
      <c r="C55" s="1144" t="s">
        <v>88</v>
      </c>
      <c r="D55" s="1138"/>
    </row>
    <row r="56" ht="18" spans="1:4">
      <c r="A56" s="1134">
        <v>54</v>
      </c>
      <c r="B56" s="1142" t="s">
        <v>89</v>
      </c>
      <c r="C56" s="1144" t="s">
        <v>89</v>
      </c>
      <c r="D56" s="1145"/>
    </row>
  </sheetData>
  <mergeCells count="2">
    <mergeCell ref="A1:D1"/>
    <mergeCell ref="D3:D56"/>
  </mergeCells>
  <hyperlinks>
    <hyperlink ref="C3" location="资产负债表!A1" display="资产负债表（进入）"/>
    <hyperlink ref="C4" location="结构比!A1" display="资产负债表结构比"/>
    <hyperlink ref="C6" location="利润表!A1" display="损益表及结构比"/>
    <hyperlink ref="C7" location="表外数据录入!A1" display="表外数据录入"/>
    <hyperlink ref="C8" location="现金流量表!A1" display="现金流量表"/>
    <hyperlink ref="C9" location="所有者权益变动表!A1" display="所有者权益变动表"/>
    <hyperlink ref="C10" location="财务比率分析!A1" display="财务比率分析"/>
    <hyperlink ref="C11" location="税负监控!A1" display="财务指标税负监控表"/>
    <hyperlink ref="C12" location="老杜邦!A1" display="传统杜邦财务分析体系"/>
    <hyperlink ref="C14" location="收支对比!A1" display="财务年度收支对比表"/>
    <hyperlink ref="C15" location="收支分析!A1" display="财务月度对比分析图"/>
    <hyperlink ref="C16" location="财务预警!A1" display="财务预警分析"/>
    <hyperlink ref="C17" location="管理用资负表!A1" display="管理用资产负债表"/>
    <hyperlink ref="C18" location="管理用利润表!A1" display="管理用利润表"/>
    <hyperlink ref="C19" location="管理用现流表!A1" display="管理用现金流量表"/>
    <hyperlink ref="C20" location="管理比率!A1" display="管理比率分析"/>
    <hyperlink ref="C21" location="新杜邦!A1" display="改善的杜邦分析体系"/>
    <hyperlink ref="C22" location="预测负债表!A1" display="管理用预测资产负债表"/>
    <hyperlink ref="C23" location="预测利润表!A1" display="管理用预测利润表"/>
    <hyperlink ref="C24" location="行业绩效标准!A1" display="行业绩效评价标准均值"/>
    <hyperlink ref="C25" location="贷款额度!A1" display="新增贷款额度测算表"/>
    <hyperlink ref="C26" location="投资决策!A1" display="投资决策模型"/>
    <hyperlink ref="C27" location="更新决策!A1" display="固定资产更新决策模型"/>
    <hyperlink ref="C28" location="财务计划!A1" display="财务计划模型"/>
    <hyperlink ref="C29" location="EOQ模型!A1" display="存货管理模型"/>
    <hyperlink ref="C30" location="租赁模型!A1" display="租赁筹资基本模型"/>
    <hyperlink ref="C31" location="按揭模型!A1" display="按揭测算模型"/>
    <hyperlink ref="C32" location="敏感分析!A1" display="利润敏感性分析模型"/>
    <hyperlink ref="C33" location="租赁筹资基本模型!A1" display="租赁筹资基本模型"/>
    <hyperlink ref="C34" location="按揭测算模型!A1" display="按揭测算模型"/>
    <hyperlink ref="C35" location="利润敏感性分析模型!A1" display="利润敏感性分析模型"/>
    <hyperlink ref="C36" location="企业安全率模型!A1" display="企业安全率模型"/>
    <hyperlink ref="C37" location="年终奖临界点节税测算表!A1" display="2019年新版个税计算器"/>
    <hyperlink ref="C38" location="时间序列预测分析!A1" display="时间序列预测分析"/>
    <hyperlink ref="C39" location="现金预算!A1" display="现金预算"/>
    <hyperlink ref="C40" location="应收账款账龄分析表!A1" display="应收账款账龄分析表"/>
    <hyperlink ref="C41" location="战略计划矩阵!A1" display="战略计划矩阵"/>
    <hyperlink ref="C42" location="自制和外购决策!A1" display="自制和外购决策"/>
    <hyperlink ref="C43" location="企业价值评估!A1" display="企业价值评估"/>
    <hyperlink ref="C13" location="老杜邦率!A1" display="传统杜邦财务分析体系2"/>
    <hyperlink ref="C44" location="比重绩效评分模型!A1" display="比重绩效评分模型"/>
    <hyperlink ref="C5" location="资产负债表分析!A1" display="资产负债表分析"/>
    <hyperlink ref="C45" location="总生产成本分析表!A1" display="总生产成本分析表"/>
    <hyperlink ref="C46" location="总生产成本年度比较表!A1" display="总生产成本年度比较表"/>
    <hyperlink ref="C47" location="生产成本汇总表!A1" display="生产成本汇总表"/>
    <hyperlink ref="C48" location="A产品成本分析表!A1" display="A产品成本分析表"/>
    <hyperlink ref="C49" location="B产品成本分析表!A1" display="B产品成本分析表"/>
    <hyperlink ref="C50" location="C产品成本分析表!A1" display="C产品成本分析表"/>
    <hyperlink ref="C51" location="D产品成本分析表!A1" display="D产品成本分析表"/>
    <hyperlink ref="C52" location="E产品成本分析表!A1" display="E产品成本分析表"/>
    <hyperlink ref="C53" location="F产品成本分析表!A1" display="F产品成本分析表"/>
    <hyperlink ref="C54" location="G产品成本分析表!A1" display="G产品成本分析表"/>
    <hyperlink ref="C55" location="其他产品成本表!A1" display="其他产品成本表"/>
    <hyperlink ref="C56" location="主要产品单位成本分析表!A1" display="主要产品单位成本分析表"/>
  </hyperlinks>
  <pageMargins left="0.75" right="0.75" top="1" bottom="1" header="0.509027777777778" footer="0.509027777777778"/>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IV28"/>
  <sheetViews>
    <sheetView zoomScale="90" zoomScaleNormal="90" workbookViewId="0">
      <selection activeCell="B15" sqref="B15"/>
    </sheetView>
  </sheetViews>
  <sheetFormatPr defaultColWidth="8" defaultRowHeight="17.25"/>
  <cols>
    <col min="1" max="3" width="38.625" style="671" customWidth="1"/>
    <col min="4" max="254" width="8" style="671"/>
    <col min="255" max="256" width="8" style="553"/>
  </cols>
  <sheetData>
    <row r="1" ht="30" customHeight="1" spans="1:3">
      <c r="A1" s="672" t="s">
        <v>788</v>
      </c>
      <c r="B1" s="672"/>
      <c r="C1" s="672"/>
    </row>
    <row r="2" s="667" customFormat="1" ht="18.95" customHeight="1" spans="1:256">
      <c r="A2" s="673"/>
      <c r="B2" s="674" t="s">
        <v>197</v>
      </c>
      <c r="C2" s="675" t="s">
        <v>198</v>
      </c>
      <c r="D2" s="676"/>
      <c r="E2" s="676"/>
      <c r="F2" s="676"/>
      <c r="G2" s="676"/>
      <c r="H2" s="676"/>
      <c r="I2" s="676"/>
      <c r="J2" s="676"/>
      <c r="K2" s="676"/>
      <c r="L2" s="676"/>
      <c r="M2" s="676"/>
      <c r="N2" s="676"/>
      <c r="O2" s="676"/>
      <c r="P2" s="676"/>
      <c r="Q2" s="676"/>
      <c r="R2" s="676"/>
      <c r="S2" s="676"/>
      <c r="T2" s="676"/>
      <c r="U2" s="676"/>
      <c r="V2" s="676"/>
      <c r="W2" s="676"/>
      <c r="X2" s="676"/>
      <c r="Y2" s="676"/>
      <c r="Z2" s="676"/>
      <c r="AA2" s="676"/>
      <c r="AB2" s="676"/>
      <c r="AC2" s="676"/>
      <c r="AD2" s="676"/>
      <c r="AE2" s="676"/>
      <c r="AF2" s="676"/>
      <c r="AG2" s="676"/>
      <c r="AH2" s="676"/>
      <c r="AI2" s="676"/>
      <c r="AJ2" s="676"/>
      <c r="AK2" s="676"/>
      <c r="AL2" s="676"/>
      <c r="AM2" s="676"/>
      <c r="AN2" s="676"/>
      <c r="AO2" s="676"/>
      <c r="AP2" s="676"/>
      <c r="AQ2" s="676"/>
      <c r="AR2" s="676"/>
      <c r="AS2" s="676"/>
      <c r="AT2" s="676"/>
      <c r="AU2" s="676"/>
      <c r="AV2" s="676"/>
      <c r="AW2" s="676"/>
      <c r="AX2" s="676"/>
      <c r="AY2" s="676"/>
      <c r="AZ2" s="676"/>
      <c r="BA2" s="676"/>
      <c r="BB2" s="676"/>
      <c r="BC2" s="676"/>
      <c r="BD2" s="676"/>
      <c r="BE2" s="676"/>
      <c r="BF2" s="676"/>
      <c r="BG2" s="676"/>
      <c r="BH2" s="676"/>
      <c r="BI2" s="676"/>
      <c r="BJ2" s="676"/>
      <c r="BK2" s="676"/>
      <c r="BL2" s="676"/>
      <c r="BM2" s="676"/>
      <c r="BN2" s="676"/>
      <c r="BO2" s="676"/>
      <c r="BP2" s="676"/>
      <c r="BQ2" s="676"/>
      <c r="BR2" s="676"/>
      <c r="BS2" s="676"/>
      <c r="BT2" s="676"/>
      <c r="BU2" s="676"/>
      <c r="BV2" s="676"/>
      <c r="BW2" s="676"/>
      <c r="BX2" s="676"/>
      <c r="BY2" s="676"/>
      <c r="BZ2" s="676"/>
      <c r="CA2" s="676"/>
      <c r="CB2" s="676"/>
      <c r="CC2" s="676"/>
      <c r="CD2" s="676"/>
      <c r="CE2" s="676"/>
      <c r="CF2" s="676"/>
      <c r="CG2" s="676"/>
      <c r="CH2" s="676"/>
      <c r="CI2" s="676"/>
      <c r="CJ2" s="676"/>
      <c r="CK2" s="676"/>
      <c r="CL2" s="676"/>
      <c r="CM2" s="676"/>
      <c r="CN2" s="676"/>
      <c r="CO2" s="676"/>
      <c r="CP2" s="676"/>
      <c r="CQ2" s="676"/>
      <c r="CR2" s="676"/>
      <c r="CS2" s="676"/>
      <c r="CT2" s="676"/>
      <c r="CU2" s="676"/>
      <c r="CV2" s="676"/>
      <c r="CW2" s="676"/>
      <c r="CX2" s="676"/>
      <c r="CY2" s="676"/>
      <c r="CZ2" s="676"/>
      <c r="DA2" s="676"/>
      <c r="DB2" s="676"/>
      <c r="DC2" s="676"/>
      <c r="DD2" s="676"/>
      <c r="DE2" s="676"/>
      <c r="DF2" s="676"/>
      <c r="DG2" s="676"/>
      <c r="DH2" s="676"/>
      <c r="DI2" s="676"/>
      <c r="DJ2" s="676"/>
      <c r="DK2" s="676"/>
      <c r="DL2" s="676"/>
      <c r="DM2" s="676"/>
      <c r="DN2" s="676"/>
      <c r="DO2" s="676"/>
      <c r="DP2" s="676"/>
      <c r="DQ2" s="676"/>
      <c r="DR2" s="676"/>
      <c r="DS2" s="676"/>
      <c r="DT2" s="676"/>
      <c r="DU2" s="676"/>
      <c r="DV2" s="676"/>
      <c r="DW2" s="676"/>
      <c r="DX2" s="676"/>
      <c r="DY2" s="676"/>
      <c r="DZ2" s="676"/>
      <c r="EA2" s="676"/>
      <c r="EB2" s="676"/>
      <c r="EC2" s="676"/>
      <c r="ED2" s="676"/>
      <c r="EE2" s="676"/>
      <c r="EF2" s="676"/>
      <c r="EG2" s="676"/>
      <c r="EH2" s="676"/>
      <c r="EI2" s="676"/>
      <c r="EJ2" s="676"/>
      <c r="EK2" s="676"/>
      <c r="EL2" s="676"/>
      <c r="EM2" s="676"/>
      <c r="EN2" s="676"/>
      <c r="EO2" s="676"/>
      <c r="EP2" s="676"/>
      <c r="EQ2" s="676"/>
      <c r="ER2" s="676"/>
      <c r="ES2" s="676"/>
      <c r="ET2" s="676"/>
      <c r="EU2" s="676"/>
      <c r="EV2" s="676"/>
      <c r="EW2" s="676"/>
      <c r="EX2" s="676"/>
      <c r="EY2" s="676"/>
      <c r="EZ2" s="676"/>
      <c r="FA2" s="676"/>
      <c r="FB2" s="676"/>
      <c r="FC2" s="676"/>
      <c r="FD2" s="676"/>
      <c r="FE2" s="676"/>
      <c r="FF2" s="676"/>
      <c r="FG2" s="676"/>
      <c r="FH2" s="676"/>
      <c r="FI2" s="676"/>
      <c r="FJ2" s="676"/>
      <c r="FK2" s="676"/>
      <c r="FL2" s="676"/>
      <c r="FM2" s="676"/>
      <c r="FN2" s="676"/>
      <c r="FO2" s="676"/>
      <c r="FP2" s="676"/>
      <c r="FQ2" s="676"/>
      <c r="FR2" s="676"/>
      <c r="FS2" s="676"/>
      <c r="FT2" s="676"/>
      <c r="FU2" s="676"/>
      <c r="FV2" s="676"/>
      <c r="FW2" s="676"/>
      <c r="FX2" s="676"/>
      <c r="FY2" s="676"/>
      <c r="FZ2" s="676"/>
      <c r="GA2" s="676"/>
      <c r="GB2" s="676"/>
      <c r="GC2" s="676"/>
      <c r="GD2" s="676"/>
      <c r="GE2" s="676"/>
      <c r="GF2" s="676"/>
      <c r="GG2" s="676"/>
      <c r="GH2" s="676"/>
      <c r="GI2" s="676"/>
      <c r="GJ2" s="676"/>
      <c r="GK2" s="676"/>
      <c r="GL2" s="676"/>
      <c r="GM2" s="676"/>
      <c r="GN2" s="676"/>
      <c r="GO2" s="676"/>
      <c r="GP2" s="676"/>
      <c r="GQ2" s="676"/>
      <c r="GR2" s="676"/>
      <c r="GS2" s="676"/>
      <c r="GT2" s="676"/>
      <c r="GU2" s="676"/>
      <c r="GV2" s="676"/>
      <c r="GW2" s="676"/>
      <c r="GX2" s="676"/>
      <c r="GY2" s="676"/>
      <c r="GZ2" s="676"/>
      <c r="HA2" s="676"/>
      <c r="HB2" s="676"/>
      <c r="HC2" s="676"/>
      <c r="HD2" s="676"/>
      <c r="HE2" s="676"/>
      <c r="HF2" s="676"/>
      <c r="HG2" s="676"/>
      <c r="HH2" s="676"/>
      <c r="HI2" s="676"/>
      <c r="HJ2" s="676"/>
      <c r="HK2" s="676"/>
      <c r="HL2" s="676"/>
      <c r="HM2" s="676"/>
      <c r="HN2" s="676"/>
      <c r="HO2" s="676"/>
      <c r="HP2" s="676"/>
      <c r="HQ2" s="676"/>
      <c r="HR2" s="676"/>
      <c r="HS2" s="676"/>
      <c r="HT2" s="676"/>
      <c r="HU2" s="676"/>
      <c r="HV2" s="676"/>
      <c r="HW2" s="676"/>
      <c r="HX2" s="676"/>
      <c r="HY2" s="676"/>
      <c r="HZ2" s="676"/>
      <c r="IA2" s="676"/>
      <c r="IB2" s="676"/>
      <c r="IC2" s="676"/>
      <c r="ID2" s="676"/>
      <c r="IE2" s="676"/>
      <c r="IF2" s="676"/>
      <c r="IG2" s="676"/>
      <c r="IH2" s="676"/>
      <c r="II2" s="676"/>
      <c r="IJ2" s="676"/>
      <c r="IK2" s="676"/>
      <c r="IL2" s="676"/>
      <c r="IM2" s="676"/>
      <c r="IN2" s="676"/>
      <c r="IO2" s="676"/>
      <c r="IP2" s="676"/>
      <c r="IQ2" s="676"/>
      <c r="IR2" s="676"/>
      <c r="IS2" s="676"/>
      <c r="IT2" s="676"/>
      <c r="IU2" s="676"/>
      <c r="IV2" s="676"/>
    </row>
    <row r="3" s="668" customFormat="1" ht="16.5" spans="1:256">
      <c r="A3" s="677" t="s">
        <v>409</v>
      </c>
      <c r="B3" s="677" t="s">
        <v>169</v>
      </c>
      <c r="C3" s="677" t="s">
        <v>170</v>
      </c>
      <c r="D3" s="678"/>
      <c r="E3" s="678"/>
      <c r="F3" s="678"/>
      <c r="G3" s="678"/>
      <c r="H3" s="678"/>
      <c r="I3" s="678"/>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678"/>
      <c r="AO3" s="678"/>
      <c r="AP3" s="678"/>
      <c r="AQ3" s="678"/>
      <c r="AR3" s="678"/>
      <c r="AS3" s="678"/>
      <c r="AT3" s="678"/>
      <c r="AU3" s="678"/>
      <c r="AV3" s="678"/>
      <c r="AW3" s="678"/>
      <c r="AX3" s="678"/>
      <c r="AY3" s="678"/>
      <c r="AZ3" s="678"/>
      <c r="BA3" s="678"/>
      <c r="BB3" s="678"/>
      <c r="BC3" s="678"/>
      <c r="BD3" s="678"/>
      <c r="BE3" s="678"/>
      <c r="BF3" s="678"/>
      <c r="BG3" s="678"/>
      <c r="BH3" s="678"/>
      <c r="BI3" s="678"/>
      <c r="BJ3" s="678"/>
      <c r="BK3" s="678"/>
      <c r="BL3" s="678"/>
      <c r="BM3" s="678"/>
      <c r="BN3" s="678"/>
      <c r="BO3" s="678"/>
      <c r="BP3" s="678"/>
      <c r="BQ3" s="678"/>
      <c r="BR3" s="678"/>
      <c r="BS3" s="678"/>
      <c r="BT3" s="678"/>
      <c r="BU3" s="678"/>
      <c r="BV3" s="678"/>
      <c r="BW3" s="678"/>
      <c r="BX3" s="678"/>
      <c r="BY3" s="678"/>
      <c r="BZ3" s="678"/>
      <c r="CA3" s="678"/>
      <c r="CB3" s="678"/>
      <c r="CC3" s="678"/>
      <c r="CD3" s="678"/>
      <c r="CE3" s="678"/>
      <c r="CF3" s="678"/>
      <c r="CG3" s="678"/>
      <c r="CH3" s="678"/>
      <c r="CI3" s="678"/>
      <c r="CJ3" s="678"/>
      <c r="CK3" s="678"/>
      <c r="CL3" s="678"/>
      <c r="CM3" s="678"/>
      <c r="CN3" s="678"/>
      <c r="CO3" s="678"/>
      <c r="CP3" s="678"/>
      <c r="CQ3" s="678"/>
      <c r="CR3" s="678"/>
      <c r="CS3" s="678"/>
      <c r="CT3" s="678"/>
      <c r="CU3" s="678"/>
      <c r="CV3" s="678"/>
      <c r="CW3" s="678"/>
      <c r="CX3" s="678"/>
      <c r="CY3" s="678"/>
      <c r="CZ3" s="678"/>
      <c r="DA3" s="678"/>
      <c r="DB3" s="678"/>
      <c r="DC3" s="678"/>
      <c r="DD3" s="678"/>
      <c r="DE3" s="678"/>
      <c r="DF3" s="678"/>
      <c r="DG3" s="678"/>
      <c r="DH3" s="678"/>
      <c r="DI3" s="678"/>
      <c r="DJ3" s="678"/>
      <c r="DK3" s="678"/>
      <c r="DL3" s="678"/>
      <c r="DM3" s="678"/>
      <c r="DN3" s="678"/>
      <c r="DO3" s="678"/>
      <c r="DP3" s="678"/>
      <c r="DQ3" s="678"/>
      <c r="DR3" s="678"/>
      <c r="DS3" s="678"/>
      <c r="DT3" s="678"/>
      <c r="DU3" s="678"/>
      <c r="DV3" s="678"/>
      <c r="DW3" s="678"/>
      <c r="DX3" s="678"/>
      <c r="DY3" s="678"/>
      <c r="DZ3" s="678"/>
      <c r="EA3" s="678"/>
      <c r="EB3" s="678"/>
      <c r="EC3" s="678"/>
      <c r="ED3" s="678"/>
      <c r="EE3" s="678"/>
      <c r="EF3" s="678"/>
      <c r="EG3" s="678"/>
      <c r="EH3" s="678"/>
      <c r="EI3" s="678"/>
      <c r="EJ3" s="678"/>
      <c r="EK3" s="678"/>
      <c r="EL3" s="678"/>
      <c r="EM3" s="678"/>
      <c r="EN3" s="678"/>
      <c r="EO3" s="678"/>
      <c r="EP3" s="678"/>
      <c r="EQ3" s="678"/>
      <c r="ER3" s="678"/>
      <c r="ES3" s="678"/>
      <c r="ET3" s="678"/>
      <c r="EU3" s="678"/>
      <c r="EV3" s="678"/>
      <c r="EW3" s="678"/>
      <c r="EX3" s="678"/>
      <c r="EY3" s="678"/>
      <c r="EZ3" s="678"/>
      <c r="FA3" s="678"/>
      <c r="FB3" s="678"/>
      <c r="FC3" s="678"/>
      <c r="FD3" s="678"/>
      <c r="FE3" s="678"/>
      <c r="FF3" s="678"/>
      <c r="FG3" s="678"/>
      <c r="FH3" s="678"/>
      <c r="FI3" s="678"/>
      <c r="FJ3" s="678"/>
      <c r="FK3" s="678"/>
      <c r="FL3" s="678"/>
      <c r="FM3" s="678"/>
      <c r="FN3" s="678"/>
      <c r="FO3" s="678"/>
      <c r="FP3" s="678"/>
      <c r="FQ3" s="678"/>
      <c r="FR3" s="678"/>
      <c r="FS3" s="678"/>
      <c r="FT3" s="678"/>
      <c r="FU3" s="678"/>
      <c r="FV3" s="678"/>
      <c r="FW3" s="678"/>
      <c r="FX3" s="678"/>
      <c r="FY3" s="678"/>
      <c r="FZ3" s="678"/>
      <c r="GA3" s="678"/>
      <c r="GB3" s="678"/>
      <c r="GC3" s="678"/>
      <c r="GD3" s="678"/>
      <c r="GE3" s="678"/>
      <c r="GF3" s="678"/>
      <c r="GG3" s="678"/>
      <c r="GH3" s="678"/>
      <c r="GI3" s="678"/>
      <c r="GJ3" s="678"/>
      <c r="GK3" s="678"/>
      <c r="GL3" s="678"/>
      <c r="GM3" s="678"/>
      <c r="GN3" s="678"/>
      <c r="GO3" s="678"/>
      <c r="GP3" s="678"/>
      <c r="GQ3" s="678"/>
      <c r="GR3" s="678"/>
      <c r="GS3" s="678"/>
      <c r="GT3" s="678"/>
      <c r="GU3" s="678"/>
      <c r="GV3" s="678"/>
      <c r="GW3" s="678"/>
      <c r="GX3" s="678"/>
      <c r="GY3" s="678"/>
      <c r="GZ3" s="678"/>
      <c r="HA3" s="678"/>
      <c r="HB3" s="678"/>
      <c r="HC3" s="678"/>
      <c r="HD3" s="678"/>
      <c r="HE3" s="678"/>
      <c r="HF3" s="678"/>
      <c r="HG3" s="678"/>
      <c r="HH3" s="678"/>
      <c r="HI3" s="678"/>
      <c r="HJ3" s="678"/>
      <c r="HK3" s="678"/>
      <c r="HL3" s="678"/>
      <c r="HM3" s="678"/>
      <c r="HN3" s="678"/>
      <c r="HO3" s="678"/>
      <c r="HP3" s="678"/>
      <c r="HQ3" s="678"/>
      <c r="HR3" s="678"/>
      <c r="HS3" s="678"/>
      <c r="HT3" s="678"/>
      <c r="HU3" s="678"/>
      <c r="HV3" s="678"/>
      <c r="HW3" s="678"/>
      <c r="HX3" s="678"/>
      <c r="HY3" s="678"/>
      <c r="HZ3" s="678"/>
      <c r="IA3" s="678"/>
      <c r="IB3" s="678"/>
      <c r="IC3" s="678"/>
      <c r="ID3" s="678"/>
      <c r="IE3" s="678"/>
      <c r="IF3" s="678"/>
      <c r="IG3" s="678"/>
      <c r="IH3" s="678"/>
      <c r="II3" s="678"/>
      <c r="IJ3" s="678"/>
      <c r="IK3" s="678"/>
      <c r="IL3" s="678"/>
      <c r="IM3" s="678"/>
      <c r="IN3" s="678"/>
      <c r="IO3" s="678"/>
      <c r="IP3" s="678"/>
      <c r="IQ3" s="678"/>
      <c r="IR3" s="678"/>
      <c r="IS3" s="678"/>
      <c r="IT3" s="678"/>
      <c r="IU3" s="678"/>
      <c r="IV3" s="678"/>
    </row>
    <row r="4" s="669" customFormat="1" ht="16.5" spans="1:256">
      <c r="A4" s="679" t="s">
        <v>789</v>
      </c>
      <c r="B4" s="680" t="s">
        <v>790</v>
      </c>
      <c r="C4" s="680" t="s">
        <v>790</v>
      </c>
      <c r="D4" s="681"/>
      <c r="E4" s="681"/>
      <c r="F4" s="681"/>
      <c r="G4" s="681"/>
      <c r="H4" s="681"/>
      <c r="I4" s="681"/>
      <c r="J4" s="681"/>
      <c r="K4" s="681"/>
      <c r="L4" s="681"/>
      <c r="M4" s="681"/>
      <c r="N4" s="681"/>
      <c r="O4" s="681"/>
      <c r="P4" s="681"/>
      <c r="Q4" s="681"/>
      <c r="R4" s="681"/>
      <c r="S4" s="681"/>
      <c r="T4" s="681"/>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c r="AT4" s="681"/>
      <c r="AU4" s="681"/>
      <c r="AV4" s="681"/>
      <c r="AW4" s="681"/>
      <c r="AX4" s="681"/>
      <c r="AY4" s="681"/>
      <c r="AZ4" s="681"/>
      <c r="BA4" s="681"/>
      <c r="BB4" s="681"/>
      <c r="BC4" s="681"/>
      <c r="BD4" s="681"/>
      <c r="BE4" s="681"/>
      <c r="BF4" s="681"/>
      <c r="BG4" s="681"/>
      <c r="BH4" s="681"/>
      <c r="BI4" s="681"/>
      <c r="BJ4" s="681"/>
      <c r="BK4" s="681"/>
      <c r="BL4" s="681"/>
      <c r="BM4" s="681"/>
      <c r="BN4" s="681"/>
      <c r="BO4" s="681"/>
      <c r="BP4" s="681"/>
      <c r="BQ4" s="681"/>
      <c r="BR4" s="681"/>
      <c r="BS4" s="681"/>
      <c r="BT4" s="681"/>
      <c r="BU4" s="681"/>
      <c r="BV4" s="681"/>
      <c r="BW4" s="681"/>
      <c r="BX4" s="681"/>
      <c r="BY4" s="681"/>
      <c r="BZ4" s="681"/>
      <c r="CA4" s="681"/>
      <c r="CB4" s="681"/>
      <c r="CC4" s="681"/>
      <c r="CD4" s="681"/>
      <c r="CE4" s="681"/>
      <c r="CF4" s="681"/>
      <c r="CG4" s="681"/>
      <c r="CH4" s="681"/>
      <c r="CI4" s="681"/>
      <c r="CJ4" s="681"/>
      <c r="CK4" s="681"/>
      <c r="CL4" s="681"/>
      <c r="CM4" s="681"/>
      <c r="CN4" s="681"/>
      <c r="CO4" s="681"/>
      <c r="CP4" s="681"/>
      <c r="CQ4" s="681"/>
      <c r="CR4" s="681"/>
      <c r="CS4" s="681"/>
      <c r="CT4" s="681"/>
      <c r="CU4" s="681"/>
      <c r="CV4" s="681"/>
      <c r="CW4" s="681"/>
      <c r="CX4" s="681"/>
      <c r="CY4" s="681"/>
      <c r="CZ4" s="681"/>
      <c r="DA4" s="681"/>
      <c r="DB4" s="681"/>
      <c r="DC4" s="681"/>
      <c r="DD4" s="681"/>
      <c r="DE4" s="681"/>
      <c r="DF4" s="681"/>
      <c r="DG4" s="681"/>
      <c r="DH4" s="681"/>
      <c r="DI4" s="681"/>
      <c r="DJ4" s="681"/>
      <c r="DK4" s="681"/>
      <c r="DL4" s="681"/>
      <c r="DM4" s="681"/>
      <c r="DN4" s="681"/>
      <c r="DO4" s="681"/>
      <c r="DP4" s="681"/>
      <c r="DQ4" s="681"/>
      <c r="DR4" s="681"/>
      <c r="DS4" s="681"/>
      <c r="DT4" s="681"/>
      <c r="DU4" s="681"/>
      <c r="DV4" s="681"/>
      <c r="DW4" s="681"/>
      <c r="DX4" s="681"/>
      <c r="DY4" s="681"/>
      <c r="DZ4" s="681"/>
      <c r="EA4" s="681"/>
      <c r="EB4" s="681"/>
      <c r="EC4" s="681"/>
      <c r="ED4" s="681"/>
      <c r="EE4" s="681"/>
      <c r="EF4" s="681"/>
      <c r="EG4" s="681"/>
      <c r="EH4" s="681"/>
      <c r="EI4" s="681"/>
      <c r="EJ4" s="681"/>
      <c r="EK4" s="681"/>
      <c r="EL4" s="681"/>
      <c r="EM4" s="681"/>
      <c r="EN4" s="681"/>
      <c r="EO4" s="681"/>
      <c r="EP4" s="681"/>
      <c r="EQ4" s="681"/>
      <c r="ER4" s="681"/>
      <c r="ES4" s="681"/>
      <c r="ET4" s="681"/>
      <c r="EU4" s="681"/>
      <c r="EV4" s="681"/>
      <c r="EW4" s="681"/>
      <c r="EX4" s="681"/>
      <c r="EY4" s="681"/>
      <c r="EZ4" s="681"/>
      <c r="FA4" s="681"/>
      <c r="FB4" s="681"/>
      <c r="FC4" s="681"/>
      <c r="FD4" s="681"/>
      <c r="FE4" s="681"/>
      <c r="FF4" s="681"/>
      <c r="FG4" s="681"/>
      <c r="FH4" s="681"/>
      <c r="FI4" s="681"/>
      <c r="FJ4" s="681"/>
      <c r="FK4" s="681"/>
      <c r="FL4" s="681"/>
      <c r="FM4" s="681"/>
      <c r="FN4" s="681"/>
      <c r="FO4" s="681"/>
      <c r="FP4" s="681"/>
      <c r="FQ4" s="681"/>
      <c r="FR4" s="681"/>
      <c r="FS4" s="681"/>
      <c r="FT4" s="681"/>
      <c r="FU4" s="681"/>
      <c r="FV4" s="681"/>
      <c r="FW4" s="681"/>
      <c r="FX4" s="681"/>
      <c r="FY4" s="681"/>
      <c r="FZ4" s="681"/>
      <c r="GA4" s="681"/>
      <c r="GB4" s="681"/>
      <c r="GC4" s="681"/>
      <c r="GD4" s="681"/>
      <c r="GE4" s="681"/>
      <c r="GF4" s="681"/>
      <c r="GG4" s="681"/>
      <c r="GH4" s="681"/>
      <c r="GI4" s="681"/>
      <c r="GJ4" s="681"/>
      <c r="GK4" s="681"/>
      <c r="GL4" s="681"/>
      <c r="GM4" s="681"/>
      <c r="GN4" s="681"/>
      <c r="GO4" s="681"/>
      <c r="GP4" s="681"/>
      <c r="GQ4" s="681"/>
      <c r="GR4" s="681"/>
      <c r="GS4" s="681"/>
      <c r="GT4" s="681"/>
      <c r="GU4" s="681"/>
      <c r="GV4" s="681"/>
      <c r="GW4" s="681"/>
      <c r="GX4" s="681"/>
      <c r="GY4" s="681"/>
      <c r="GZ4" s="681"/>
      <c r="HA4" s="681"/>
      <c r="HB4" s="681"/>
      <c r="HC4" s="681"/>
      <c r="HD4" s="681"/>
      <c r="HE4" s="681"/>
      <c r="HF4" s="681"/>
      <c r="HG4" s="681"/>
      <c r="HH4" s="681"/>
      <c r="HI4" s="681"/>
      <c r="HJ4" s="681"/>
      <c r="HK4" s="681"/>
      <c r="HL4" s="681"/>
      <c r="HM4" s="681"/>
      <c r="HN4" s="681"/>
      <c r="HO4" s="681"/>
      <c r="HP4" s="681"/>
      <c r="HQ4" s="681"/>
      <c r="HR4" s="681"/>
      <c r="HS4" s="681"/>
      <c r="HT4" s="681"/>
      <c r="HU4" s="681"/>
      <c r="HV4" s="681"/>
      <c r="HW4" s="681"/>
      <c r="HX4" s="681"/>
      <c r="HY4" s="681"/>
      <c r="HZ4" s="681"/>
      <c r="IA4" s="681"/>
      <c r="IB4" s="681"/>
      <c r="IC4" s="681"/>
      <c r="ID4" s="681"/>
      <c r="IE4" s="681"/>
      <c r="IF4" s="681"/>
      <c r="IG4" s="681"/>
      <c r="IH4" s="681"/>
      <c r="II4" s="681"/>
      <c r="IJ4" s="681"/>
      <c r="IK4" s="681"/>
      <c r="IL4" s="681"/>
      <c r="IM4" s="681"/>
      <c r="IN4" s="681"/>
      <c r="IO4" s="681"/>
      <c r="IP4" s="681"/>
      <c r="IQ4" s="681"/>
      <c r="IR4" s="681"/>
      <c r="IS4" s="681"/>
      <c r="IT4" s="681"/>
      <c r="IU4" s="681"/>
      <c r="IV4" s="681"/>
    </row>
    <row r="5" s="669" customFormat="1" ht="16.5" spans="1:256">
      <c r="A5" s="682" t="s">
        <v>791</v>
      </c>
      <c r="B5" s="627">
        <f>管理用利润表!B20</f>
        <v>158893</v>
      </c>
      <c r="C5" s="627">
        <f>管理用利润表!C20</f>
        <v>57080</v>
      </c>
      <c r="D5" s="68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c r="CU5" s="681"/>
      <c r="CV5" s="681"/>
      <c r="CW5" s="681"/>
      <c r="CX5" s="681"/>
      <c r="CY5" s="681"/>
      <c r="CZ5" s="681"/>
      <c r="DA5" s="681"/>
      <c r="DB5" s="681"/>
      <c r="DC5" s="681"/>
      <c r="DD5" s="681"/>
      <c r="DE5" s="681"/>
      <c r="DF5" s="681"/>
      <c r="DG5" s="681"/>
      <c r="DH5" s="681"/>
      <c r="DI5" s="681"/>
      <c r="DJ5" s="681"/>
      <c r="DK5" s="681"/>
      <c r="DL5" s="681"/>
      <c r="DM5" s="681"/>
      <c r="DN5" s="681"/>
      <c r="DO5" s="681"/>
      <c r="DP5" s="681"/>
      <c r="DQ5" s="681"/>
      <c r="DR5" s="681"/>
      <c r="DS5" s="681"/>
      <c r="DT5" s="681"/>
      <c r="DU5" s="681"/>
      <c r="DV5" s="681"/>
      <c r="DW5" s="681"/>
      <c r="DX5" s="681"/>
      <c r="DY5" s="681"/>
      <c r="DZ5" s="681"/>
      <c r="EA5" s="681"/>
      <c r="EB5" s="681"/>
      <c r="EC5" s="681"/>
      <c r="ED5" s="681"/>
      <c r="EE5" s="681"/>
      <c r="EF5" s="681"/>
      <c r="EG5" s="681"/>
      <c r="EH5" s="681"/>
      <c r="EI5" s="681"/>
      <c r="EJ5" s="681"/>
      <c r="EK5" s="681"/>
      <c r="EL5" s="681"/>
      <c r="EM5" s="681"/>
      <c r="EN5" s="681"/>
      <c r="EO5" s="681"/>
      <c r="EP5" s="681"/>
      <c r="EQ5" s="681"/>
      <c r="ER5" s="681"/>
      <c r="ES5" s="681"/>
      <c r="ET5" s="681"/>
      <c r="EU5" s="681"/>
      <c r="EV5" s="681"/>
      <c r="EW5" s="681"/>
      <c r="EX5" s="681"/>
      <c r="EY5" s="681"/>
      <c r="EZ5" s="681"/>
      <c r="FA5" s="681"/>
      <c r="FB5" s="681"/>
      <c r="FC5" s="681"/>
      <c r="FD5" s="681"/>
      <c r="FE5" s="681"/>
      <c r="FF5" s="681"/>
      <c r="FG5" s="681"/>
      <c r="FH5" s="681"/>
      <c r="FI5" s="681"/>
      <c r="FJ5" s="681"/>
      <c r="FK5" s="681"/>
      <c r="FL5" s="681"/>
      <c r="FM5" s="681"/>
      <c r="FN5" s="681"/>
      <c r="FO5" s="681"/>
      <c r="FP5" s="681"/>
      <c r="FQ5" s="681"/>
      <c r="FR5" s="681"/>
      <c r="FS5" s="681"/>
      <c r="FT5" s="681"/>
      <c r="FU5" s="681"/>
      <c r="FV5" s="681"/>
      <c r="FW5" s="681"/>
      <c r="FX5" s="681"/>
      <c r="FY5" s="681"/>
      <c r="FZ5" s="681"/>
      <c r="GA5" s="681"/>
      <c r="GB5" s="681"/>
      <c r="GC5" s="681"/>
      <c r="GD5" s="681"/>
      <c r="GE5" s="681"/>
      <c r="GF5" s="681"/>
      <c r="GG5" s="681"/>
      <c r="GH5" s="681"/>
      <c r="GI5" s="681"/>
      <c r="GJ5" s="681"/>
      <c r="GK5" s="681"/>
      <c r="GL5" s="681"/>
      <c r="GM5" s="681"/>
      <c r="GN5" s="681"/>
      <c r="GO5" s="681"/>
      <c r="GP5" s="681"/>
      <c r="GQ5" s="681"/>
      <c r="GR5" s="681"/>
      <c r="GS5" s="681"/>
      <c r="GT5" s="681"/>
      <c r="GU5" s="681"/>
      <c r="GV5" s="681"/>
      <c r="GW5" s="681"/>
      <c r="GX5" s="681"/>
      <c r="GY5" s="681"/>
      <c r="GZ5" s="681"/>
      <c r="HA5" s="681"/>
      <c r="HB5" s="681"/>
      <c r="HC5" s="681"/>
      <c r="HD5" s="681"/>
      <c r="HE5" s="681"/>
      <c r="HF5" s="681"/>
      <c r="HG5" s="681"/>
      <c r="HH5" s="681"/>
      <c r="HI5" s="681"/>
      <c r="HJ5" s="681"/>
      <c r="HK5" s="681"/>
      <c r="HL5" s="681"/>
      <c r="HM5" s="681"/>
      <c r="HN5" s="681"/>
      <c r="HO5" s="681"/>
      <c r="HP5" s="681"/>
      <c r="HQ5" s="681"/>
      <c r="HR5" s="681"/>
      <c r="HS5" s="681"/>
      <c r="HT5" s="681"/>
      <c r="HU5" s="681"/>
      <c r="HV5" s="681"/>
      <c r="HW5" s="681"/>
      <c r="HX5" s="681"/>
      <c r="HY5" s="681"/>
      <c r="HZ5" s="681"/>
      <c r="IA5" s="681"/>
      <c r="IB5" s="681"/>
      <c r="IC5" s="681"/>
      <c r="ID5" s="681"/>
      <c r="IE5" s="681"/>
      <c r="IF5" s="681"/>
      <c r="IG5" s="681"/>
      <c r="IH5" s="681"/>
      <c r="II5" s="681"/>
      <c r="IJ5" s="681"/>
      <c r="IK5" s="681"/>
      <c r="IL5" s="681"/>
      <c r="IM5" s="681"/>
      <c r="IN5" s="681"/>
      <c r="IO5" s="681"/>
      <c r="IP5" s="681"/>
      <c r="IQ5" s="681"/>
      <c r="IR5" s="681"/>
      <c r="IS5" s="681"/>
      <c r="IT5" s="681"/>
      <c r="IU5" s="681"/>
      <c r="IV5" s="681"/>
    </row>
    <row r="6" s="669" customFormat="1" ht="16.5" spans="1:256">
      <c r="A6" s="683" t="s">
        <v>792</v>
      </c>
      <c r="B6" s="627">
        <f>现金流量表!B47+现金流量表!B48+现金流量表!B49</f>
        <v>-202.115577889447</v>
      </c>
      <c r="C6" s="627">
        <f>现金流量表!C47+现金流量表!C48+现金流量表!C49</f>
        <v>0</v>
      </c>
      <c r="D6" s="681"/>
      <c r="E6" s="681"/>
      <c r="F6" s="681"/>
      <c r="G6" s="681"/>
      <c r="H6" s="681"/>
      <c r="I6" s="681"/>
      <c r="J6" s="681"/>
      <c r="K6" s="681"/>
      <c r="L6" s="681"/>
      <c r="M6" s="681"/>
      <c r="N6" s="681"/>
      <c r="O6" s="681"/>
      <c r="P6" s="681"/>
      <c r="Q6" s="681"/>
      <c r="R6" s="681"/>
      <c r="S6" s="681"/>
      <c r="T6" s="681"/>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c r="AT6" s="681"/>
      <c r="AU6" s="681"/>
      <c r="AV6" s="681"/>
      <c r="AW6" s="681"/>
      <c r="AX6" s="681"/>
      <c r="AY6" s="681"/>
      <c r="AZ6" s="681"/>
      <c r="BA6" s="681"/>
      <c r="BB6" s="681"/>
      <c r="BC6" s="681"/>
      <c r="BD6" s="681"/>
      <c r="BE6" s="681"/>
      <c r="BF6" s="681"/>
      <c r="BG6" s="681"/>
      <c r="BH6" s="681"/>
      <c r="BI6" s="681"/>
      <c r="BJ6" s="681"/>
      <c r="BK6" s="681"/>
      <c r="BL6" s="681"/>
      <c r="BM6" s="681"/>
      <c r="BN6" s="681"/>
      <c r="BO6" s="681"/>
      <c r="BP6" s="681"/>
      <c r="BQ6" s="681"/>
      <c r="BR6" s="681"/>
      <c r="BS6" s="681"/>
      <c r="BT6" s="681"/>
      <c r="BU6" s="681"/>
      <c r="BV6" s="681"/>
      <c r="BW6" s="681"/>
      <c r="BX6" s="681"/>
      <c r="BY6" s="681"/>
      <c r="BZ6" s="681"/>
      <c r="CA6" s="681"/>
      <c r="CB6" s="681"/>
      <c r="CC6" s="681"/>
      <c r="CD6" s="681"/>
      <c r="CE6" s="681"/>
      <c r="CF6" s="681"/>
      <c r="CG6" s="681"/>
      <c r="CH6" s="681"/>
      <c r="CI6" s="681"/>
      <c r="CJ6" s="681"/>
      <c r="CK6" s="681"/>
      <c r="CL6" s="681"/>
      <c r="CM6" s="681"/>
      <c r="CN6" s="681"/>
      <c r="CO6" s="681"/>
      <c r="CP6" s="681"/>
      <c r="CQ6" s="681"/>
      <c r="CR6" s="681"/>
      <c r="CS6" s="681"/>
      <c r="CT6" s="681"/>
      <c r="CU6" s="681"/>
      <c r="CV6" s="681"/>
      <c r="CW6" s="681"/>
      <c r="CX6" s="681"/>
      <c r="CY6" s="681"/>
      <c r="CZ6" s="681"/>
      <c r="DA6" s="681"/>
      <c r="DB6" s="681"/>
      <c r="DC6" s="681"/>
      <c r="DD6" s="681"/>
      <c r="DE6" s="681"/>
      <c r="DF6" s="681"/>
      <c r="DG6" s="681"/>
      <c r="DH6" s="681"/>
      <c r="DI6" s="681"/>
      <c r="DJ6" s="681"/>
      <c r="DK6" s="681"/>
      <c r="DL6" s="681"/>
      <c r="DM6" s="681"/>
      <c r="DN6" s="681"/>
      <c r="DO6" s="681"/>
      <c r="DP6" s="681"/>
      <c r="DQ6" s="681"/>
      <c r="DR6" s="681"/>
      <c r="DS6" s="681"/>
      <c r="DT6" s="681"/>
      <c r="DU6" s="681"/>
      <c r="DV6" s="681"/>
      <c r="DW6" s="681"/>
      <c r="DX6" s="681"/>
      <c r="DY6" s="681"/>
      <c r="DZ6" s="681"/>
      <c r="EA6" s="681"/>
      <c r="EB6" s="681"/>
      <c r="EC6" s="681"/>
      <c r="ED6" s="681"/>
      <c r="EE6" s="681"/>
      <c r="EF6" s="681"/>
      <c r="EG6" s="681"/>
      <c r="EH6" s="681"/>
      <c r="EI6" s="681"/>
      <c r="EJ6" s="681"/>
      <c r="EK6" s="681"/>
      <c r="EL6" s="681"/>
      <c r="EM6" s="681"/>
      <c r="EN6" s="681"/>
      <c r="EO6" s="681"/>
      <c r="EP6" s="681"/>
      <c r="EQ6" s="681"/>
      <c r="ER6" s="681"/>
      <c r="ES6" s="681"/>
      <c r="ET6" s="681"/>
      <c r="EU6" s="681"/>
      <c r="EV6" s="681"/>
      <c r="EW6" s="681"/>
      <c r="EX6" s="681"/>
      <c r="EY6" s="681"/>
      <c r="EZ6" s="681"/>
      <c r="FA6" s="681"/>
      <c r="FB6" s="681"/>
      <c r="FC6" s="681"/>
      <c r="FD6" s="681"/>
      <c r="FE6" s="681"/>
      <c r="FF6" s="681"/>
      <c r="FG6" s="681"/>
      <c r="FH6" s="681"/>
      <c r="FI6" s="681"/>
      <c r="FJ6" s="681"/>
      <c r="FK6" s="681"/>
      <c r="FL6" s="681"/>
      <c r="FM6" s="681"/>
      <c r="FN6" s="681"/>
      <c r="FO6" s="681"/>
      <c r="FP6" s="681"/>
      <c r="FQ6" s="681"/>
      <c r="FR6" s="681"/>
      <c r="FS6" s="681"/>
      <c r="FT6" s="681"/>
      <c r="FU6" s="681"/>
      <c r="FV6" s="681"/>
      <c r="FW6" s="681"/>
      <c r="FX6" s="681"/>
      <c r="FY6" s="681"/>
      <c r="FZ6" s="681"/>
      <c r="GA6" s="681"/>
      <c r="GB6" s="681"/>
      <c r="GC6" s="681"/>
      <c r="GD6" s="681"/>
      <c r="GE6" s="681"/>
      <c r="GF6" s="681"/>
      <c r="GG6" s="681"/>
      <c r="GH6" s="681"/>
      <c r="GI6" s="681"/>
      <c r="GJ6" s="681"/>
      <c r="GK6" s="681"/>
      <c r="GL6" s="681"/>
      <c r="GM6" s="681"/>
      <c r="GN6" s="681"/>
      <c r="GO6" s="681"/>
      <c r="GP6" s="681"/>
      <c r="GQ6" s="681"/>
      <c r="GR6" s="681"/>
      <c r="GS6" s="681"/>
      <c r="GT6" s="681"/>
      <c r="GU6" s="681"/>
      <c r="GV6" s="681"/>
      <c r="GW6" s="681"/>
      <c r="GX6" s="681"/>
      <c r="GY6" s="681"/>
      <c r="GZ6" s="681"/>
      <c r="HA6" s="681"/>
      <c r="HB6" s="681"/>
      <c r="HC6" s="681"/>
      <c r="HD6" s="681"/>
      <c r="HE6" s="681"/>
      <c r="HF6" s="681"/>
      <c r="HG6" s="681"/>
      <c r="HH6" s="681"/>
      <c r="HI6" s="681"/>
      <c r="HJ6" s="681"/>
      <c r="HK6" s="681"/>
      <c r="HL6" s="681"/>
      <c r="HM6" s="681"/>
      <c r="HN6" s="681"/>
      <c r="HO6" s="681"/>
      <c r="HP6" s="681"/>
      <c r="HQ6" s="681"/>
      <c r="HR6" s="681"/>
      <c r="HS6" s="681"/>
      <c r="HT6" s="681"/>
      <c r="HU6" s="681"/>
      <c r="HV6" s="681"/>
      <c r="HW6" s="681"/>
      <c r="HX6" s="681"/>
      <c r="HY6" s="681"/>
      <c r="HZ6" s="681"/>
      <c r="IA6" s="681"/>
      <c r="IB6" s="681"/>
      <c r="IC6" s="681"/>
      <c r="ID6" s="681"/>
      <c r="IE6" s="681"/>
      <c r="IF6" s="681"/>
      <c r="IG6" s="681"/>
      <c r="IH6" s="681"/>
      <c r="II6" s="681"/>
      <c r="IJ6" s="681"/>
      <c r="IK6" s="681"/>
      <c r="IL6" s="681"/>
      <c r="IM6" s="681"/>
      <c r="IN6" s="681"/>
      <c r="IO6" s="681"/>
      <c r="IP6" s="681"/>
      <c r="IQ6" s="681"/>
      <c r="IR6" s="681"/>
      <c r="IS6" s="681"/>
      <c r="IT6" s="681"/>
      <c r="IU6" s="681"/>
      <c r="IV6" s="681"/>
    </row>
    <row r="7" s="669" customFormat="1" ht="16.5" spans="1:256">
      <c r="A7" s="682" t="s">
        <v>793</v>
      </c>
      <c r="B7" s="627">
        <f>B5+B6</f>
        <v>158690.884422111</v>
      </c>
      <c r="C7" s="627">
        <f>C5+C6</f>
        <v>57080</v>
      </c>
      <c r="D7" s="681"/>
      <c r="E7" s="681"/>
      <c r="F7" s="681"/>
      <c r="G7" s="681"/>
      <c r="H7" s="681"/>
      <c r="I7" s="681"/>
      <c r="J7" s="681"/>
      <c r="K7" s="681"/>
      <c r="L7" s="681"/>
      <c r="M7" s="681"/>
      <c r="N7" s="681"/>
      <c r="O7" s="681"/>
      <c r="P7" s="681"/>
      <c r="Q7" s="681"/>
      <c r="R7" s="681"/>
      <c r="S7" s="681"/>
      <c r="T7" s="681"/>
      <c r="U7" s="681"/>
      <c r="V7" s="681"/>
      <c r="W7" s="681"/>
      <c r="X7" s="681"/>
      <c r="Y7" s="681"/>
      <c r="Z7" s="681"/>
      <c r="AA7" s="681"/>
      <c r="AB7" s="681"/>
      <c r="AC7" s="681"/>
      <c r="AD7" s="681"/>
      <c r="AE7" s="681"/>
      <c r="AF7" s="681"/>
      <c r="AG7" s="681"/>
      <c r="AH7" s="681"/>
      <c r="AI7" s="681"/>
      <c r="AJ7" s="681"/>
      <c r="AK7" s="681"/>
      <c r="AL7" s="681"/>
      <c r="AM7" s="681"/>
      <c r="AN7" s="681"/>
      <c r="AO7" s="681"/>
      <c r="AP7" s="681"/>
      <c r="AQ7" s="681"/>
      <c r="AR7" s="681"/>
      <c r="AS7" s="681"/>
      <c r="AT7" s="681"/>
      <c r="AU7" s="681"/>
      <c r="AV7" s="681"/>
      <c r="AW7" s="681"/>
      <c r="AX7" s="681"/>
      <c r="AY7" s="681"/>
      <c r="AZ7" s="681"/>
      <c r="BA7" s="681"/>
      <c r="BB7" s="681"/>
      <c r="BC7" s="681"/>
      <c r="BD7" s="681"/>
      <c r="BE7" s="681"/>
      <c r="BF7" s="681"/>
      <c r="BG7" s="681"/>
      <c r="BH7" s="681"/>
      <c r="BI7" s="681"/>
      <c r="BJ7" s="681"/>
      <c r="BK7" s="681"/>
      <c r="BL7" s="681"/>
      <c r="BM7" s="681"/>
      <c r="BN7" s="681"/>
      <c r="BO7" s="681"/>
      <c r="BP7" s="681"/>
      <c r="BQ7" s="681"/>
      <c r="BR7" s="681"/>
      <c r="BS7" s="681"/>
      <c r="BT7" s="681"/>
      <c r="BU7" s="681"/>
      <c r="BV7" s="681"/>
      <c r="BW7" s="681"/>
      <c r="BX7" s="681"/>
      <c r="BY7" s="681"/>
      <c r="BZ7" s="681"/>
      <c r="CA7" s="681"/>
      <c r="CB7" s="681"/>
      <c r="CC7" s="681"/>
      <c r="CD7" s="681"/>
      <c r="CE7" s="681"/>
      <c r="CF7" s="681"/>
      <c r="CG7" s="681"/>
      <c r="CH7" s="681"/>
      <c r="CI7" s="681"/>
      <c r="CJ7" s="681"/>
      <c r="CK7" s="681"/>
      <c r="CL7" s="681"/>
      <c r="CM7" s="681"/>
      <c r="CN7" s="681"/>
      <c r="CO7" s="681"/>
      <c r="CP7" s="681"/>
      <c r="CQ7" s="681"/>
      <c r="CR7" s="681"/>
      <c r="CS7" s="681"/>
      <c r="CT7" s="681"/>
      <c r="CU7" s="681"/>
      <c r="CV7" s="681"/>
      <c r="CW7" s="681"/>
      <c r="CX7" s="681"/>
      <c r="CY7" s="681"/>
      <c r="CZ7" s="681"/>
      <c r="DA7" s="681"/>
      <c r="DB7" s="681"/>
      <c r="DC7" s="681"/>
      <c r="DD7" s="681"/>
      <c r="DE7" s="681"/>
      <c r="DF7" s="681"/>
      <c r="DG7" s="681"/>
      <c r="DH7" s="681"/>
      <c r="DI7" s="681"/>
      <c r="DJ7" s="681"/>
      <c r="DK7" s="681"/>
      <c r="DL7" s="681"/>
      <c r="DM7" s="681"/>
      <c r="DN7" s="681"/>
      <c r="DO7" s="681"/>
      <c r="DP7" s="681"/>
      <c r="DQ7" s="681"/>
      <c r="DR7" s="681"/>
      <c r="DS7" s="681"/>
      <c r="DT7" s="681"/>
      <c r="DU7" s="681"/>
      <c r="DV7" s="681"/>
      <c r="DW7" s="681"/>
      <c r="DX7" s="681"/>
      <c r="DY7" s="681"/>
      <c r="DZ7" s="681"/>
      <c r="EA7" s="681"/>
      <c r="EB7" s="681"/>
      <c r="EC7" s="681"/>
      <c r="ED7" s="681"/>
      <c r="EE7" s="681"/>
      <c r="EF7" s="681"/>
      <c r="EG7" s="681"/>
      <c r="EH7" s="681"/>
      <c r="EI7" s="681"/>
      <c r="EJ7" s="681"/>
      <c r="EK7" s="681"/>
      <c r="EL7" s="681"/>
      <c r="EM7" s="681"/>
      <c r="EN7" s="681"/>
      <c r="EO7" s="681"/>
      <c r="EP7" s="681"/>
      <c r="EQ7" s="681"/>
      <c r="ER7" s="681"/>
      <c r="ES7" s="681"/>
      <c r="ET7" s="681"/>
      <c r="EU7" s="681"/>
      <c r="EV7" s="681"/>
      <c r="EW7" s="681"/>
      <c r="EX7" s="681"/>
      <c r="EY7" s="681"/>
      <c r="EZ7" s="681"/>
      <c r="FA7" s="681"/>
      <c r="FB7" s="681"/>
      <c r="FC7" s="681"/>
      <c r="FD7" s="681"/>
      <c r="FE7" s="681"/>
      <c r="FF7" s="681"/>
      <c r="FG7" s="681"/>
      <c r="FH7" s="681"/>
      <c r="FI7" s="681"/>
      <c r="FJ7" s="681"/>
      <c r="FK7" s="681"/>
      <c r="FL7" s="681"/>
      <c r="FM7" s="681"/>
      <c r="FN7" s="681"/>
      <c r="FO7" s="681"/>
      <c r="FP7" s="681"/>
      <c r="FQ7" s="681"/>
      <c r="FR7" s="681"/>
      <c r="FS7" s="681"/>
      <c r="FT7" s="681"/>
      <c r="FU7" s="681"/>
      <c r="FV7" s="681"/>
      <c r="FW7" s="681"/>
      <c r="FX7" s="681"/>
      <c r="FY7" s="681"/>
      <c r="FZ7" s="681"/>
      <c r="GA7" s="681"/>
      <c r="GB7" s="681"/>
      <c r="GC7" s="681"/>
      <c r="GD7" s="681"/>
      <c r="GE7" s="681"/>
      <c r="GF7" s="681"/>
      <c r="GG7" s="681"/>
      <c r="GH7" s="681"/>
      <c r="GI7" s="681"/>
      <c r="GJ7" s="681"/>
      <c r="GK7" s="681"/>
      <c r="GL7" s="681"/>
      <c r="GM7" s="681"/>
      <c r="GN7" s="681"/>
      <c r="GO7" s="681"/>
      <c r="GP7" s="681"/>
      <c r="GQ7" s="681"/>
      <c r="GR7" s="681"/>
      <c r="GS7" s="681"/>
      <c r="GT7" s="681"/>
      <c r="GU7" s="681"/>
      <c r="GV7" s="681"/>
      <c r="GW7" s="681"/>
      <c r="GX7" s="681"/>
      <c r="GY7" s="681"/>
      <c r="GZ7" s="681"/>
      <c r="HA7" s="681"/>
      <c r="HB7" s="681"/>
      <c r="HC7" s="681"/>
      <c r="HD7" s="681"/>
      <c r="HE7" s="681"/>
      <c r="HF7" s="681"/>
      <c r="HG7" s="681"/>
      <c r="HH7" s="681"/>
      <c r="HI7" s="681"/>
      <c r="HJ7" s="681"/>
      <c r="HK7" s="681"/>
      <c r="HL7" s="681"/>
      <c r="HM7" s="681"/>
      <c r="HN7" s="681"/>
      <c r="HO7" s="681"/>
      <c r="HP7" s="681"/>
      <c r="HQ7" s="681"/>
      <c r="HR7" s="681"/>
      <c r="HS7" s="681"/>
      <c r="HT7" s="681"/>
      <c r="HU7" s="681"/>
      <c r="HV7" s="681"/>
      <c r="HW7" s="681"/>
      <c r="HX7" s="681"/>
      <c r="HY7" s="681"/>
      <c r="HZ7" s="681"/>
      <c r="IA7" s="681"/>
      <c r="IB7" s="681"/>
      <c r="IC7" s="681"/>
      <c r="ID7" s="681"/>
      <c r="IE7" s="681"/>
      <c r="IF7" s="681"/>
      <c r="IG7" s="681"/>
      <c r="IH7" s="681"/>
      <c r="II7" s="681"/>
      <c r="IJ7" s="681"/>
      <c r="IK7" s="681"/>
      <c r="IL7" s="681"/>
      <c r="IM7" s="681"/>
      <c r="IN7" s="681"/>
      <c r="IO7" s="681"/>
      <c r="IP7" s="681"/>
      <c r="IQ7" s="681"/>
      <c r="IR7" s="681"/>
      <c r="IS7" s="681"/>
      <c r="IT7" s="681"/>
      <c r="IU7" s="681"/>
      <c r="IV7" s="681"/>
    </row>
    <row r="8" s="669" customFormat="1" ht="16.5" spans="1:256">
      <c r="A8" s="627" t="s">
        <v>794</v>
      </c>
      <c r="B8" s="627">
        <f>管理用资负表!B26-管理用资负表!C26</f>
        <v>309641</v>
      </c>
      <c r="C8" s="684"/>
      <c r="D8" s="681"/>
      <c r="E8" s="681"/>
      <c r="F8" s="681"/>
      <c r="G8" s="681"/>
      <c r="H8" s="681"/>
      <c r="I8" s="681"/>
      <c r="J8" s="681"/>
      <c r="K8" s="681"/>
      <c r="L8" s="681"/>
      <c r="M8" s="681"/>
      <c r="N8" s="681"/>
      <c r="O8" s="681"/>
      <c r="P8" s="681"/>
      <c r="Q8" s="681"/>
      <c r="R8" s="681"/>
      <c r="S8" s="681"/>
      <c r="T8" s="681"/>
      <c r="U8" s="681"/>
      <c r="V8" s="681"/>
      <c r="W8" s="681"/>
      <c r="X8" s="681"/>
      <c r="Y8" s="681"/>
      <c r="Z8" s="681"/>
      <c r="AA8" s="681"/>
      <c r="AB8" s="681"/>
      <c r="AC8" s="681"/>
      <c r="AD8" s="681"/>
      <c r="AE8" s="681"/>
      <c r="AF8" s="681"/>
      <c r="AG8" s="681"/>
      <c r="AH8" s="681"/>
      <c r="AI8" s="681"/>
      <c r="AJ8" s="681"/>
      <c r="AK8" s="681"/>
      <c r="AL8" s="681"/>
      <c r="AM8" s="681"/>
      <c r="AN8" s="681"/>
      <c r="AO8" s="681"/>
      <c r="AP8" s="681"/>
      <c r="AQ8" s="681"/>
      <c r="AR8" s="681"/>
      <c r="AS8" s="681"/>
      <c r="AT8" s="681"/>
      <c r="AU8" s="681"/>
      <c r="AV8" s="681"/>
      <c r="AW8" s="681"/>
      <c r="AX8" s="681"/>
      <c r="AY8" s="681"/>
      <c r="AZ8" s="681"/>
      <c r="BA8" s="681"/>
      <c r="BB8" s="681"/>
      <c r="BC8" s="681"/>
      <c r="BD8" s="681"/>
      <c r="BE8" s="681"/>
      <c r="BF8" s="681"/>
      <c r="BG8" s="681"/>
      <c r="BH8" s="681"/>
      <c r="BI8" s="681"/>
      <c r="BJ8" s="681"/>
      <c r="BK8" s="681"/>
      <c r="BL8" s="681"/>
      <c r="BM8" s="681"/>
      <c r="BN8" s="681"/>
      <c r="BO8" s="681"/>
      <c r="BP8" s="681"/>
      <c r="BQ8" s="681"/>
      <c r="BR8" s="681"/>
      <c r="BS8" s="681"/>
      <c r="BT8" s="681"/>
      <c r="BU8" s="681"/>
      <c r="BV8" s="681"/>
      <c r="BW8" s="681"/>
      <c r="BX8" s="681"/>
      <c r="BY8" s="681"/>
      <c r="BZ8" s="681"/>
      <c r="CA8" s="681"/>
      <c r="CB8" s="681"/>
      <c r="CC8" s="681"/>
      <c r="CD8" s="681"/>
      <c r="CE8" s="681"/>
      <c r="CF8" s="681"/>
      <c r="CG8" s="681"/>
      <c r="CH8" s="681"/>
      <c r="CI8" s="681"/>
      <c r="CJ8" s="681"/>
      <c r="CK8" s="681"/>
      <c r="CL8" s="681"/>
      <c r="CM8" s="681"/>
      <c r="CN8" s="681"/>
      <c r="CO8" s="681"/>
      <c r="CP8" s="681"/>
      <c r="CQ8" s="681"/>
      <c r="CR8" s="681"/>
      <c r="CS8" s="681"/>
      <c r="CT8" s="681"/>
      <c r="CU8" s="681"/>
      <c r="CV8" s="681"/>
      <c r="CW8" s="681"/>
      <c r="CX8" s="681"/>
      <c r="CY8" s="681"/>
      <c r="CZ8" s="681"/>
      <c r="DA8" s="681"/>
      <c r="DB8" s="681"/>
      <c r="DC8" s="681"/>
      <c r="DD8" s="681"/>
      <c r="DE8" s="681"/>
      <c r="DF8" s="681"/>
      <c r="DG8" s="681"/>
      <c r="DH8" s="681"/>
      <c r="DI8" s="681"/>
      <c r="DJ8" s="681"/>
      <c r="DK8" s="681"/>
      <c r="DL8" s="681"/>
      <c r="DM8" s="681"/>
      <c r="DN8" s="681"/>
      <c r="DO8" s="681"/>
      <c r="DP8" s="681"/>
      <c r="DQ8" s="681"/>
      <c r="DR8" s="681"/>
      <c r="DS8" s="681"/>
      <c r="DT8" s="681"/>
      <c r="DU8" s="681"/>
      <c r="DV8" s="681"/>
      <c r="DW8" s="681"/>
      <c r="DX8" s="681"/>
      <c r="DY8" s="681"/>
      <c r="DZ8" s="681"/>
      <c r="EA8" s="681"/>
      <c r="EB8" s="681"/>
      <c r="EC8" s="681"/>
      <c r="ED8" s="681"/>
      <c r="EE8" s="681"/>
      <c r="EF8" s="681"/>
      <c r="EG8" s="681"/>
      <c r="EH8" s="681"/>
      <c r="EI8" s="681"/>
      <c r="EJ8" s="681"/>
      <c r="EK8" s="681"/>
      <c r="EL8" s="681"/>
      <c r="EM8" s="681"/>
      <c r="EN8" s="681"/>
      <c r="EO8" s="681"/>
      <c r="EP8" s="681"/>
      <c r="EQ8" s="681"/>
      <c r="ER8" s="681"/>
      <c r="ES8" s="681"/>
      <c r="ET8" s="681"/>
      <c r="EU8" s="681"/>
      <c r="EV8" s="681"/>
      <c r="EW8" s="681"/>
      <c r="EX8" s="681"/>
      <c r="EY8" s="681"/>
      <c r="EZ8" s="681"/>
      <c r="FA8" s="681"/>
      <c r="FB8" s="681"/>
      <c r="FC8" s="681"/>
      <c r="FD8" s="681"/>
      <c r="FE8" s="681"/>
      <c r="FF8" s="681"/>
      <c r="FG8" s="681"/>
      <c r="FH8" s="681"/>
      <c r="FI8" s="681"/>
      <c r="FJ8" s="681"/>
      <c r="FK8" s="681"/>
      <c r="FL8" s="681"/>
      <c r="FM8" s="681"/>
      <c r="FN8" s="681"/>
      <c r="FO8" s="681"/>
      <c r="FP8" s="681"/>
      <c r="FQ8" s="681"/>
      <c r="FR8" s="681"/>
      <c r="FS8" s="681"/>
      <c r="FT8" s="681"/>
      <c r="FU8" s="681"/>
      <c r="FV8" s="681"/>
      <c r="FW8" s="681"/>
      <c r="FX8" s="681"/>
      <c r="FY8" s="681"/>
      <c r="FZ8" s="681"/>
      <c r="GA8" s="681"/>
      <c r="GB8" s="681"/>
      <c r="GC8" s="681"/>
      <c r="GD8" s="681"/>
      <c r="GE8" s="681"/>
      <c r="GF8" s="681"/>
      <c r="GG8" s="681"/>
      <c r="GH8" s="681"/>
      <c r="GI8" s="681"/>
      <c r="GJ8" s="681"/>
      <c r="GK8" s="681"/>
      <c r="GL8" s="681"/>
      <c r="GM8" s="681"/>
      <c r="GN8" s="681"/>
      <c r="GO8" s="681"/>
      <c r="GP8" s="681"/>
      <c r="GQ8" s="681"/>
      <c r="GR8" s="681"/>
      <c r="GS8" s="681"/>
      <c r="GT8" s="681"/>
      <c r="GU8" s="681"/>
      <c r="GV8" s="681"/>
      <c r="GW8" s="681"/>
      <c r="GX8" s="681"/>
      <c r="GY8" s="681"/>
      <c r="GZ8" s="681"/>
      <c r="HA8" s="681"/>
      <c r="HB8" s="681"/>
      <c r="HC8" s="681"/>
      <c r="HD8" s="681"/>
      <c r="HE8" s="681"/>
      <c r="HF8" s="681"/>
      <c r="HG8" s="681"/>
      <c r="HH8" s="681"/>
      <c r="HI8" s="681"/>
      <c r="HJ8" s="681"/>
      <c r="HK8" s="681"/>
      <c r="HL8" s="681"/>
      <c r="HM8" s="681"/>
      <c r="HN8" s="681"/>
      <c r="HO8" s="681"/>
      <c r="HP8" s="681"/>
      <c r="HQ8" s="681"/>
      <c r="HR8" s="681"/>
      <c r="HS8" s="681"/>
      <c r="HT8" s="681"/>
      <c r="HU8" s="681"/>
      <c r="HV8" s="681"/>
      <c r="HW8" s="681"/>
      <c r="HX8" s="681"/>
      <c r="HY8" s="681"/>
      <c r="HZ8" s="681"/>
      <c r="IA8" s="681"/>
      <c r="IB8" s="681"/>
      <c r="IC8" s="681"/>
      <c r="ID8" s="681"/>
      <c r="IE8" s="681"/>
      <c r="IF8" s="681"/>
      <c r="IG8" s="681"/>
      <c r="IH8" s="681"/>
      <c r="II8" s="681"/>
      <c r="IJ8" s="681"/>
      <c r="IK8" s="681"/>
      <c r="IL8" s="681"/>
      <c r="IM8" s="681"/>
      <c r="IN8" s="681"/>
      <c r="IO8" s="681"/>
      <c r="IP8" s="681"/>
      <c r="IQ8" s="681"/>
      <c r="IR8" s="681"/>
      <c r="IS8" s="681"/>
      <c r="IT8" s="681"/>
      <c r="IU8" s="681"/>
      <c r="IV8" s="681"/>
    </row>
    <row r="9" s="669" customFormat="1" ht="16.5" spans="1:256">
      <c r="A9" s="682" t="s">
        <v>795</v>
      </c>
      <c r="B9" s="627">
        <f>B7-B8</f>
        <v>-150950.115577889</v>
      </c>
      <c r="C9" s="627">
        <f>C7-C8</f>
        <v>57080</v>
      </c>
      <c r="D9" s="681"/>
      <c r="E9" s="681"/>
      <c r="F9" s="681"/>
      <c r="G9" s="681"/>
      <c r="H9" s="681"/>
      <c r="I9" s="681"/>
      <c r="J9" s="681"/>
      <c r="K9" s="681"/>
      <c r="L9" s="681"/>
      <c r="M9" s="681"/>
      <c r="N9" s="681"/>
      <c r="O9" s="681"/>
      <c r="P9" s="681"/>
      <c r="Q9" s="681"/>
      <c r="R9" s="681"/>
      <c r="S9" s="681"/>
      <c r="T9" s="681"/>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c r="AT9" s="681"/>
      <c r="AU9" s="681"/>
      <c r="AV9" s="681"/>
      <c r="AW9" s="681"/>
      <c r="AX9" s="681"/>
      <c r="AY9" s="681"/>
      <c r="AZ9" s="681"/>
      <c r="BA9" s="681"/>
      <c r="BB9" s="681"/>
      <c r="BC9" s="681"/>
      <c r="BD9" s="681"/>
      <c r="BE9" s="681"/>
      <c r="BF9" s="681"/>
      <c r="BG9" s="681"/>
      <c r="BH9" s="681"/>
      <c r="BI9" s="681"/>
      <c r="BJ9" s="681"/>
      <c r="BK9" s="681"/>
      <c r="BL9" s="681"/>
      <c r="BM9" s="681"/>
      <c r="BN9" s="681"/>
      <c r="BO9" s="681"/>
      <c r="BP9" s="681"/>
      <c r="BQ9" s="681"/>
      <c r="BR9" s="681"/>
      <c r="BS9" s="681"/>
      <c r="BT9" s="681"/>
      <c r="BU9" s="681"/>
      <c r="BV9" s="681"/>
      <c r="BW9" s="681"/>
      <c r="BX9" s="681"/>
      <c r="BY9" s="681"/>
      <c r="BZ9" s="681"/>
      <c r="CA9" s="681"/>
      <c r="CB9" s="681"/>
      <c r="CC9" s="681"/>
      <c r="CD9" s="681"/>
      <c r="CE9" s="681"/>
      <c r="CF9" s="681"/>
      <c r="CG9" s="681"/>
      <c r="CH9" s="681"/>
      <c r="CI9" s="681"/>
      <c r="CJ9" s="681"/>
      <c r="CK9" s="681"/>
      <c r="CL9" s="681"/>
      <c r="CM9" s="681"/>
      <c r="CN9" s="681"/>
      <c r="CO9" s="681"/>
      <c r="CP9" s="681"/>
      <c r="CQ9" s="681"/>
      <c r="CR9" s="681"/>
      <c r="CS9" s="681"/>
      <c r="CT9" s="681"/>
      <c r="CU9" s="681"/>
      <c r="CV9" s="681"/>
      <c r="CW9" s="681"/>
      <c r="CX9" s="681"/>
      <c r="CY9" s="681"/>
      <c r="CZ9" s="681"/>
      <c r="DA9" s="681"/>
      <c r="DB9" s="681"/>
      <c r="DC9" s="681"/>
      <c r="DD9" s="681"/>
      <c r="DE9" s="681"/>
      <c r="DF9" s="681"/>
      <c r="DG9" s="681"/>
      <c r="DH9" s="681"/>
      <c r="DI9" s="681"/>
      <c r="DJ9" s="681"/>
      <c r="DK9" s="681"/>
      <c r="DL9" s="681"/>
      <c r="DM9" s="681"/>
      <c r="DN9" s="681"/>
      <c r="DO9" s="681"/>
      <c r="DP9" s="681"/>
      <c r="DQ9" s="681"/>
      <c r="DR9" s="681"/>
      <c r="DS9" s="681"/>
      <c r="DT9" s="681"/>
      <c r="DU9" s="681"/>
      <c r="DV9" s="681"/>
      <c r="DW9" s="681"/>
      <c r="DX9" s="681"/>
      <c r="DY9" s="681"/>
      <c r="DZ9" s="681"/>
      <c r="EA9" s="681"/>
      <c r="EB9" s="681"/>
      <c r="EC9" s="681"/>
      <c r="ED9" s="681"/>
      <c r="EE9" s="681"/>
      <c r="EF9" s="681"/>
      <c r="EG9" s="681"/>
      <c r="EH9" s="681"/>
      <c r="EI9" s="681"/>
      <c r="EJ9" s="681"/>
      <c r="EK9" s="681"/>
      <c r="EL9" s="681"/>
      <c r="EM9" s="681"/>
      <c r="EN9" s="681"/>
      <c r="EO9" s="681"/>
      <c r="EP9" s="681"/>
      <c r="EQ9" s="681"/>
      <c r="ER9" s="681"/>
      <c r="ES9" s="681"/>
      <c r="ET9" s="681"/>
      <c r="EU9" s="681"/>
      <c r="EV9" s="681"/>
      <c r="EW9" s="681"/>
      <c r="EX9" s="681"/>
      <c r="EY9" s="681"/>
      <c r="EZ9" s="681"/>
      <c r="FA9" s="681"/>
      <c r="FB9" s="681"/>
      <c r="FC9" s="681"/>
      <c r="FD9" s="681"/>
      <c r="FE9" s="681"/>
      <c r="FF9" s="681"/>
      <c r="FG9" s="681"/>
      <c r="FH9" s="681"/>
      <c r="FI9" s="681"/>
      <c r="FJ9" s="681"/>
      <c r="FK9" s="681"/>
      <c r="FL9" s="681"/>
      <c r="FM9" s="681"/>
      <c r="FN9" s="681"/>
      <c r="FO9" s="681"/>
      <c r="FP9" s="681"/>
      <c r="FQ9" s="681"/>
      <c r="FR9" s="681"/>
      <c r="FS9" s="681"/>
      <c r="FT9" s="681"/>
      <c r="FU9" s="681"/>
      <c r="FV9" s="681"/>
      <c r="FW9" s="681"/>
      <c r="FX9" s="681"/>
      <c r="FY9" s="681"/>
      <c r="FZ9" s="681"/>
      <c r="GA9" s="681"/>
      <c r="GB9" s="681"/>
      <c r="GC9" s="681"/>
      <c r="GD9" s="681"/>
      <c r="GE9" s="681"/>
      <c r="GF9" s="681"/>
      <c r="GG9" s="681"/>
      <c r="GH9" s="681"/>
      <c r="GI9" s="681"/>
      <c r="GJ9" s="681"/>
      <c r="GK9" s="681"/>
      <c r="GL9" s="681"/>
      <c r="GM9" s="681"/>
      <c r="GN9" s="681"/>
      <c r="GO9" s="681"/>
      <c r="GP9" s="681"/>
      <c r="GQ9" s="681"/>
      <c r="GR9" s="681"/>
      <c r="GS9" s="681"/>
      <c r="GT9" s="681"/>
      <c r="GU9" s="681"/>
      <c r="GV9" s="681"/>
      <c r="GW9" s="681"/>
      <c r="GX9" s="681"/>
      <c r="GY9" s="681"/>
      <c r="GZ9" s="681"/>
      <c r="HA9" s="681"/>
      <c r="HB9" s="681"/>
      <c r="HC9" s="681"/>
      <c r="HD9" s="681"/>
      <c r="HE9" s="681"/>
      <c r="HF9" s="681"/>
      <c r="HG9" s="681"/>
      <c r="HH9" s="681"/>
      <c r="HI9" s="681"/>
      <c r="HJ9" s="681"/>
      <c r="HK9" s="681"/>
      <c r="HL9" s="681"/>
      <c r="HM9" s="681"/>
      <c r="HN9" s="681"/>
      <c r="HO9" s="681"/>
      <c r="HP9" s="681"/>
      <c r="HQ9" s="681"/>
      <c r="HR9" s="681"/>
      <c r="HS9" s="681"/>
      <c r="HT9" s="681"/>
      <c r="HU9" s="681"/>
      <c r="HV9" s="681"/>
      <c r="HW9" s="681"/>
      <c r="HX9" s="681"/>
      <c r="HY9" s="681"/>
      <c r="HZ9" s="681"/>
      <c r="IA9" s="681"/>
      <c r="IB9" s="681"/>
      <c r="IC9" s="681"/>
      <c r="ID9" s="681"/>
      <c r="IE9" s="681"/>
      <c r="IF9" s="681"/>
      <c r="IG9" s="681"/>
      <c r="IH9" s="681"/>
      <c r="II9" s="681"/>
      <c r="IJ9" s="681"/>
      <c r="IK9" s="681"/>
      <c r="IL9" s="681"/>
      <c r="IM9" s="681"/>
      <c r="IN9" s="681"/>
      <c r="IO9" s="681"/>
      <c r="IP9" s="681"/>
      <c r="IQ9" s="681"/>
      <c r="IR9" s="681"/>
      <c r="IS9" s="681"/>
      <c r="IT9" s="681"/>
      <c r="IU9" s="681"/>
      <c r="IV9" s="681"/>
    </row>
    <row r="10" s="669" customFormat="1" ht="16.5" spans="1:256">
      <c r="A10" s="627" t="s">
        <v>796</v>
      </c>
      <c r="B10" s="627">
        <f>管理用资负表!B49-管理用资负表!C49</f>
        <v>110931</v>
      </c>
      <c r="C10" s="684"/>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c r="CN10" s="681"/>
      <c r="CO10" s="681"/>
      <c r="CP10" s="681"/>
      <c r="CQ10" s="681"/>
      <c r="CR10" s="681"/>
      <c r="CS10" s="681"/>
      <c r="CT10" s="681"/>
      <c r="CU10" s="681"/>
      <c r="CV10" s="681"/>
      <c r="CW10" s="681"/>
      <c r="CX10" s="681"/>
      <c r="CY10" s="681"/>
      <c r="CZ10" s="681"/>
      <c r="DA10" s="681"/>
      <c r="DB10" s="681"/>
      <c r="DC10" s="681"/>
      <c r="DD10" s="681"/>
      <c r="DE10" s="681"/>
      <c r="DF10" s="681"/>
      <c r="DG10" s="681"/>
      <c r="DH10" s="681"/>
      <c r="DI10" s="681"/>
      <c r="DJ10" s="681"/>
      <c r="DK10" s="681"/>
      <c r="DL10" s="681"/>
      <c r="DM10" s="681"/>
      <c r="DN10" s="681"/>
      <c r="DO10" s="681"/>
      <c r="DP10" s="681"/>
      <c r="DQ10" s="681"/>
      <c r="DR10" s="681"/>
      <c r="DS10" s="681"/>
      <c r="DT10" s="681"/>
      <c r="DU10" s="681"/>
      <c r="DV10" s="681"/>
      <c r="DW10" s="681"/>
      <c r="DX10" s="681"/>
      <c r="DY10" s="681"/>
      <c r="DZ10" s="681"/>
      <c r="EA10" s="681"/>
      <c r="EB10" s="681"/>
      <c r="EC10" s="681"/>
      <c r="ED10" s="681"/>
      <c r="EE10" s="681"/>
      <c r="EF10" s="681"/>
      <c r="EG10" s="681"/>
      <c r="EH10" s="681"/>
      <c r="EI10" s="681"/>
      <c r="EJ10" s="681"/>
      <c r="EK10" s="681"/>
      <c r="EL10" s="681"/>
      <c r="EM10" s="681"/>
      <c r="EN10" s="681"/>
      <c r="EO10" s="681"/>
      <c r="EP10" s="681"/>
      <c r="EQ10" s="681"/>
      <c r="ER10" s="681"/>
      <c r="ES10" s="681"/>
      <c r="ET10" s="681"/>
      <c r="EU10" s="681"/>
      <c r="EV10" s="681"/>
      <c r="EW10" s="681"/>
      <c r="EX10" s="681"/>
      <c r="EY10" s="681"/>
      <c r="EZ10" s="681"/>
      <c r="FA10" s="681"/>
      <c r="FB10" s="681"/>
      <c r="FC10" s="681"/>
      <c r="FD10" s="681"/>
      <c r="FE10" s="681"/>
      <c r="FF10" s="681"/>
      <c r="FG10" s="681"/>
      <c r="FH10" s="681"/>
      <c r="FI10" s="681"/>
      <c r="FJ10" s="681"/>
      <c r="FK10" s="681"/>
      <c r="FL10" s="681"/>
      <c r="FM10" s="681"/>
      <c r="FN10" s="681"/>
      <c r="FO10" s="681"/>
      <c r="FP10" s="681"/>
      <c r="FQ10" s="681"/>
      <c r="FR10" s="681"/>
      <c r="FS10" s="681"/>
      <c r="FT10" s="681"/>
      <c r="FU10" s="681"/>
      <c r="FV10" s="681"/>
      <c r="FW10" s="681"/>
      <c r="FX10" s="681"/>
      <c r="FY10" s="681"/>
      <c r="FZ10" s="681"/>
      <c r="GA10" s="681"/>
      <c r="GB10" s="681"/>
      <c r="GC10" s="681"/>
      <c r="GD10" s="681"/>
      <c r="GE10" s="681"/>
      <c r="GF10" s="681"/>
      <c r="GG10" s="681"/>
      <c r="GH10" s="681"/>
      <c r="GI10" s="681"/>
      <c r="GJ10" s="681"/>
      <c r="GK10" s="681"/>
      <c r="GL10" s="681"/>
      <c r="GM10" s="681"/>
      <c r="GN10" s="681"/>
      <c r="GO10" s="681"/>
      <c r="GP10" s="681"/>
      <c r="GQ10" s="681"/>
      <c r="GR10" s="681"/>
      <c r="GS10" s="681"/>
      <c r="GT10" s="681"/>
      <c r="GU10" s="681"/>
      <c r="GV10" s="681"/>
      <c r="GW10" s="681"/>
      <c r="GX10" s="681"/>
      <c r="GY10" s="681"/>
      <c r="GZ10" s="681"/>
      <c r="HA10" s="681"/>
      <c r="HB10" s="681"/>
      <c r="HC10" s="681"/>
      <c r="HD10" s="681"/>
      <c r="HE10" s="681"/>
      <c r="HF10" s="681"/>
      <c r="HG10" s="681"/>
      <c r="HH10" s="681"/>
      <c r="HI10" s="681"/>
      <c r="HJ10" s="681"/>
      <c r="HK10" s="681"/>
      <c r="HL10" s="681"/>
      <c r="HM10" s="681"/>
      <c r="HN10" s="681"/>
      <c r="HO10" s="681"/>
      <c r="HP10" s="681"/>
      <c r="HQ10" s="681"/>
      <c r="HR10" s="681"/>
      <c r="HS10" s="681"/>
      <c r="HT10" s="681"/>
      <c r="HU10" s="681"/>
      <c r="HV10" s="681"/>
      <c r="HW10" s="681"/>
      <c r="HX10" s="681"/>
      <c r="HY10" s="681"/>
      <c r="HZ10" s="681"/>
      <c r="IA10" s="681"/>
      <c r="IB10" s="681"/>
      <c r="IC10" s="681"/>
      <c r="ID10" s="681"/>
      <c r="IE10" s="681"/>
      <c r="IF10" s="681"/>
      <c r="IG10" s="681"/>
      <c r="IH10" s="681"/>
      <c r="II10" s="681"/>
      <c r="IJ10" s="681"/>
      <c r="IK10" s="681"/>
      <c r="IL10" s="681"/>
      <c r="IM10" s="681"/>
      <c r="IN10" s="681"/>
      <c r="IO10" s="681"/>
      <c r="IP10" s="681"/>
      <c r="IQ10" s="681"/>
      <c r="IR10" s="681"/>
      <c r="IS10" s="681"/>
      <c r="IT10" s="681"/>
      <c r="IU10" s="681"/>
      <c r="IV10" s="681"/>
    </row>
    <row r="11" s="669" customFormat="1" ht="16.5" spans="1:256">
      <c r="A11" s="682" t="s">
        <v>797</v>
      </c>
      <c r="B11" s="627">
        <f>B6</f>
        <v>-202.115577889447</v>
      </c>
      <c r="C11" s="627">
        <f>C6</f>
        <v>0</v>
      </c>
      <c r="D11" s="681"/>
      <c r="E11" s="681"/>
      <c r="F11" s="681"/>
      <c r="G11" s="681"/>
      <c r="H11" s="681"/>
      <c r="I11" s="681"/>
      <c r="J11" s="681"/>
      <c r="K11" s="681"/>
      <c r="L11" s="681"/>
      <c r="M11" s="681"/>
      <c r="N11" s="681"/>
      <c r="O11" s="681"/>
      <c r="P11" s="681"/>
      <c r="Q11" s="681"/>
      <c r="R11" s="681"/>
      <c r="S11" s="681"/>
      <c r="T11" s="681"/>
      <c r="U11" s="681"/>
      <c r="V11" s="681"/>
      <c r="W11" s="681"/>
      <c r="X11" s="681"/>
      <c r="Y11" s="681"/>
      <c r="Z11" s="681"/>
      <c r="AA11" s="681"/>
      <c r="AB11" s="681"/>
      <c r="AC11" s="681"/>
      <c r="AD11" s="681"/>
      <c r="AE11" s="681"/>
      <c r="AF11" s="681"/>
      <c r="AG11" s="681"/>
      <c r="AH11" s="681"/>
      <c r="AI11" s="681"/>
      <c r="AJ11" s="681"/>
      <c r="AK11" s="681"/>
      <c r="AL11" s="681"/>
      <c r="AM11" s="681"/>
      <c r="AN11" s="681"/>
      <c r="AO11" s="681"/>
      <c r="AP11" s="681"/>
      <c r="AQ11" s="681"/>
      <c r="AR11" s="681"/>
      <c r="AS11" s="681"/>
      <c r="AT11" s="681"/>
      <c r="AU11" s="681"/>
      <c r="AV11" s="681"/>
      <c r="AW11" s="681"/>
      <c r="AX11" s="681"/>
      <c r="AY11" s="681"/>
      <c r="AZ11" s="681"/>
      <c r="BA11" s="681"/>
      <c r="BB11" s="681"/>
      <c r="BC11" s="681"/>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c r="CN11" s="681"/>
      <c r="CO11" s="681"/>
      <c r="CP11" s="681"/>
      <c r="CQ11" s="681"/>
      <c r="CR11" s="681"/>
      <c r="CS11" s="681"/>
      <c r="CT11" s="681"/>
      <c r="CU11" s="681"/>
      <c r="CV11" s="681"/>
      <c r="CW11" s="681"/>
      <c r="CX11" s="681"/>
      <c r="CY11" s="681"/>
      <c r="CZ11" s="681"/>
      <c r="DA11" s="681"/>
      <c r="DB11" s="681"/>
      <c r="DC11" s="681"/>
      <c r="DD11" s="681"/>
      <c r="DE11" s="681"/>
      <c r="DF11" s="681"/>
      <c r="DG11" s="681"/>
      <c r="DH11" s="681"/>
      <c r="DI11" s="681"/>
      <c r="DJ11" s="681"/>
      <c r="DK11" s="681"/>
      <c r="DL11" s="681"/>
      <c r="DM11" s="681"/>
      <c r="DN11" s="681"/>
      <c r="DO11" s="681"/>
      <c r="DP11" s="681"/>
      <c r="DQ11" s="681"/>
      <c r="DR11" s="681"/>
      <c r="DS11" s="681"/>
      <c r="DT11" s="681"/>
      <c r="DU11" s="681"/>
      <c r="DV11" s="681"/>
      <c r="DW11" s="681"/>
      <c r="DX11" s="681"/>
      <c r="DY11" s="681"/>
      <c r="DZ11" s="681"/>
      <c r="EA11" s="681"/>
      <c r="EB11" s="681"/>
      <c r="EC11" s="681"/>
      <c r="ED11" s="681"/>
      <c r="EE11" s="681"/>
      <c r="EF11" s="681"/>
      <c r="EG11" s="681"/>
      <c r="EH11" s="681"/>
      <c r="EI11" s="681"/>
      <c r="EJ11" s="681"/>
      <c r="EK11" s="681"/>
      <c r="EL11" s="681"/>
      <c r="EM11" s="681"/>
      <c r="EN11" s="681"/>
      <c r="EO11" s="681"/>
      <c r="EP11" s="681"/>
      <c r="EQ11" s="681"/>
      <c r="ER11" s="681"/>
      <c r="ES11" s="681"/>
      <c r="ET11" s="681"/>
      <c r="EU11" s="681"/>
      <c r="EV11" s="681"/>
      <c r="EW11" s="681"/>
      <c r="EX11" s="681"/>
      <c r="EY11" s="681"/>
      <c r="EZ11" s="681"/>
      <c r="FA11" s="681"/>
      <c r="FB11" s="681"/>
      <c r="FC11" s="681"/>
      <c r="FD11" s="681"/>
      <c r="FE11" s="681"/>
      <c r="FF11" s="681"/>
      <c r="FG11" s="681"/>
      <c r="FH11" s="681"/>
      <c r="FI11" s="681"/>
      <c r="FJ11" s="681"/>
      <c r="FK11" s="681"/>
      <c r="FL11" s="681"/>
      <c r="FM11" s="681"/>
      <c r="FN11" s="681"/>
      <c r="FO11" s="681"/>
      <c r="FP11" s="681"/>
      <c r="FQ11" s="681"/>
      <c r="FR11" s="681"/>
      <c r="FS11" s="681"/>
      <c r="FT11" s="681"/>
      <c r="FU11" s="681"/>
      <c r="FV11" s="681"/>
      <c r="FW11" s="681"/>
      <c r="FX11" s="681"/>
      <c r="FY11" s="681"/>
      <c r="FZ11" s="681"/>
      <c r="GA11" s="681"/>
      <c r="GB11" s="681"/>
      <c r="GC11" s="681"/>
      <c r="GD11" s="681"/>
      <c r="GE11" s="681"/>
      <c r="GF11" s="681"/>
      <c r="GG11" s="681"/>
      <c r="GH11" s="681"/>
      <c r="GI11" s="681"/>
      <c r="GJ11" s="681"/>
      <c r="GK11" s="681"/>
      <c r="GL11" s="681"/>
      <c r="GM11" s="681"/>
      <c r="GN11" s="681"/>
      <c r="GO11" s="681"/>
      <c r="GP11" s="681"/>
      <c r="GQ11" s="681"/>
      <c r="GR11" s="681"/>
      <c r="GS11" s="681"/>
      <c r="GT11" s="681"/>
      <c r="GU11" s="681"/>
      <c r="GV11" s="681"/>
      <c r="GW11" s="681"/>
      <c r="GX11" s="681"/>
      <c r="GY11" s="681"/>
      <c r="GZ11" s="681"/>
      <c r="HA11" s="681"/>
      <c r="HB11" s="681"/>
      <c r="HC11" s="681"/>
      <c r="HD11" s="681"/>
      <c r="HE11" s="681"/>
      <c r="HF11" s="681"/>
      <c r="HG11" s="681"/>
      <c r="HH11" s="681"/>
      <c r="HI11" s="681"/>
      <c r="HJ11" s="681"/>
      <c r="HK11" s="681"/>
      <c r="HL11" s="681"/>
      <c r="HM11" s="681"/>
      <c r="HN11" s="681"/>
      <c r="HO11" s="681"/>
      <c r="HP11" s="681"/>
      <c r="HQ11" s="681"/>
      <c r="HR11" s="681"/>
      <c r="HS11" s="681"/>
      <c r="HT11" s="681"/>
      <c r="HU11" s="681"/>
      <c r="HV11" s="681"/>
      <c r="HW11" s="681"/>
      <c r="HX11" s="681"/>
      <c r="HY11" s="681"/>
      <c r="HZ11" s="681"/>
      <c r="IA11" s="681"/>
      <c r="IB11" s="681"/>
      <c r="IC11" s="681"/>
      <c r="ID11" s="681"/>
      <c r="IE11" s="681"/>
      <c r="IF11" s="681"/>
      <c r="IG11" s="681"/>
      <c r="IH11" s="681"/>
      <c r="II11" s="681"/>
      <c r="IJ11" s="681"/>
      <c r="IK11" s="681"/>
      <c r="IL11" s="681"/>
      <c r="IM11" s="681"/>
      <c r="IN11" s="681"/>
      <c r="IO11" s="681"/>
      <c r="IP11" s="681"/>
      <c r="IQ11" s="681"/>
      <c r="IR11" s="681"/>
      <c r="IS11" s="681"/>
      <c r="IT11" s="681"/>
      <c r="IU11" s="681"/>
      <c r="IV11" s="681"/>
    </row>
    <row r="12" s="669" customFormat="1" ht="16.5" spans="1:256">
      <c r="A12" s="682" t="s">
        <v>798</v>
      </c>
      <c r="B12" s="627">
        <f>B9-B10-B11</f>
        <v>-261679</v>
      </c>
      <c r="C12" s="627">
        <f>C9-C10-C11</f>
        <v>57080</v>
      </c>
      <c r="D12" s="681"/>
      <c r="E12" s="681"/>
      <c r="F12" s="681"/>
      <c r="G12" s="681"/>
      <c r="H12" s="681"/>
      <c r="I12" s="681"/>
      <c r="J12" s="681"/>
      <c r="K12" s="681"/>
      <c r="L12" s="681"/>
      <c r="M12" s="681"/>
      <c r="N12" s="681"/>
      <c r="O12" s="681"/>
      <c r="P12" s="681"/>
      <c r="Q12" s="681"/>
      <c r="R12" s="681"/>
      <c r="S12" s="681"/>
      <c r="T12" s="681"/>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c r="AQ12" s="681"/>
      <c r="AR12" s="681"/>
      <c r="AS12" s="681"/>
      <c r="AT12" s="681"/>
      <c r="AU12" s="681"/>
      <c r="AV12" s="681"/>
      <c r="AW12" s="681"/>
      <c r="AX12" s="681"/>
      <c r="AY12" s="681"/>
      <c r="AZ12" s="681"/>
      <c r="BA12" s="681"/>
      <c r="BB12" s="681"/>
      <c r="BC12" s="681"/>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c r="CN12" s="681"/>
      <c r="CO12" s="681"/>
      <c r="CP12" s="681"/>
      <c r="CQ12" s="681"/>
      <c r="CR12" s="681"/>
      <c r="CS12" s="681"/>
      <c r="CT12" s="681"/>
      <c r="CU12" s="681"/>
      <c r="CV12" s="681"/>
      <c r="CW12" s="681"/>
      <c r="CX12" s="681"/>
      <c r="CY12" s="681"/>
      <c r="CZ12" s="681"/>
      <c r="DA12" s="681"/>
      <c r="DB12" s="681"/>
      <c r="DC12" s="681"/>
      <c r="DD12" s="681"/>
      <c r="DE12" s="681"/>
      <c r="DF12" s="681"/>
      <c r="DG12" s="681"/>
      <c r="DH12" s="681"/>
      <c r="DI12" s="681"/>
      <c r="DJ12" s="681"/>
      <c r="DK12" s="681"/>
      <c r="DL12" s="681"/>
      <c r="DM12" s="681"/>
      <c r="DN12" s="681"/>
      <c r="DO12" s="681"/>
      <c r="DP12" s="681"/>
      <c r="DQ12" s="681"/>
      <c r="DR12" s="681"/>
      <c r="DS12" s="681"/>
      <c r="DT12" s="681"/>
      <c r="DU12" s="681"/>
      <c r="DV12" s="681"/>
      <c r="DW12" s="681"/>
      <c r="DX12" s="681"/>
      <c r="DY12" s="681"/>
      <c r="DZ12" s="681"/>
      <c r="EA12" s="681"/>
      <c r="EB12" s="681"/>
      <c r="EC12" s="681"/>
      <c r="ED12" s="681"/>
      <c r="EE12" s="681"/>
      <c r="EF12" s="681"/>
      <c r="EG12" s="681"/>
      <c r="EH12" s="681"/>
      <c r="EI12" s="681"/>
      <c r="EJ12" s="681"/>
      <c r="EK12" s="681"/>
      <c r="EL12" s="681"/>
      <c r="EM12" s="681"/>
      <c r="EN12" s="681"/>
      <c r="EO12" s="681"/>
      <c r="EP12" s="681"/>
      <c r="EQ12" s="681"/>
      <c r="ER12" s="681"/>
      <c r="ES12" s="681"/>
      <c r="ET12" s="681"/>
      <c r="EU12" s="681"/>
      <c r="EV12" s="681"/>
      <c r="EW12" s="681"/>
      <c r="EX12" s="681"/>
      <c r="EY12" s="681"/>
      <c r="EZ12" s="681"/>
      <c r="FA12" s="681"/>
      <c r="FB12" s="681"/>
      <c r="FC12" s="681"/>
      <c r="FD12" s="681"/>
      <c r="FE12" s="681"/>
      <c r="FF12" s="681"/>
      <c r="FG12" s="681"/>
      <c r="FH12" s="681"/>
      <c r="FI12" s="681"/>
      <c r="FJ12" s="681"/>
      <c r="FK12" s="681"/>
      <c r="FL12" s="681"/>
      <c r="FM12" s="681"/>
      <c r="FN12" s="681"/>
      <c r="FO12" s="681"/>
      <c r="FP12" s="681"/>
      <c r="FQ12" s="681"/>
      <c r="FR12" s="681"/>
      <c r="FS12" s="681"/>
      <c r="FT12" s="681"/>
      <c r="FU12" s="681"/>
      <c r="FV12" s="681"/>
      <c r="FW12" s="681"/>
      <c r="FX12" s="681"/>
      <c r="FY12" s="681"/>
      <c r="FZ12" s="681"/>
      <c r="GA12" s="681"/>
      <c r="GB12" s="681"/>
      <c r="GC12" s="681"/>
      <c r="GD12" s="681"/>
      <c r="GE12" s="681"/>
      <c r="GF12" s="681"/>
      <c r="GG12" s="681"/>
      <c r="GH12" s="681"/>
      <c r="GI12" s="681"/>
      <c r="GJ12" s="681"/>
      <c r="GK12" s="681"/>
      <c r="GL12" s="681"/>
      <c r="GM12" s="681"/>
      <c r="GN12" s="681"/>
      <c r="GO12" s="681"/>
      <c r="GP12" s="681"/>
      <c r="GQ12" s="681"/>
      <c r="GR12" s="681"/>
      <c r="GS12" s="681"/>
      <c r="GT12" s="681"/>
      <c r="GU12" s="681"/>
      <c r="GV12" s="681"/>
      <c r="GW12" s="681"/>
      <c r="GX12" s="681"/>
      <c r="GY12" s="681"/>
      <c r="GZ12" s="681"/>
      <c r="HA12" s="681"/>
      <c r="HB12" s="681"/>
      <c r="HC12" s="681"/>
      <c r="HD12" s="681"/>
      <c r="HE12" s="681"/>
      <c r="HF12" s="681"/>
      <c r="HG12" s="681"/>
      <c r="HH12" s="681"/>
      <c r="HI12" s="681"/>
      <c r="HJ12" s="681"/>
      <c r="HK12" s="681"/>
      <c r="HL12" s="681"/>
      <c r="HM12" s="681"/>
      <c r="HN12" s="681"/>
      <c r="HO12" s="681"/>
      <c r="HP12" s="681"/>
      <c r="HQ12" s="681"/>
      <c r="HR12" s="681"/>
      <c r="HS12" s="681"/>
      <c r="HT12" s="681"/>
      <c r="HU12" s="681"/>
      <c r="HV12" s="681"/>
      <c r="HW12" s="681"/>
      <c r="HX12" s="681"/>
      <c r="HY12" s="681"/>
      <c r="HZ12" s="681"/>
      <c r="IA12" s="681"/>
      <c r="IB12" s="681"/>
      <c r="IC12" s="681"/>
      <c r="ID12" s="681"/>
      <c r="IE12" s="681"/>
      <c r="IF12" s="681"/>
      <c r="IG12" s="681"/>
      <c r="IH12" s="681"/>
      <c r="II12" s="681"/>
      <c r="IJ12" s="681"/>
      <c r="IK12" s="681"/>
      <c r="IL12" s="681"/>
      <c r="IM12" s="681"/>
      <c r="IN12" s="681"/>
      <c r="IO12" s="681"/>
      <c r="IP12" s="681"/>
      <c r="IQ12" s="681"/>
      <c r="IR12" s="681"/>
      <c r="IS12" s="681"/>
      <c r="IT12" s="681"/>
      <c r="IU12" s="681"/>
      <c r="IV12" s="681"/>
    </row>
    <row r="13" s="669" customFormat="1" ht="16.5" spans="1:256">
      <c r="A13" s="685" t="s">
        <v>799</v>
      </c>
      <c r="B13" s="680" t="s">
        <v>790</v>
      </c>
      <c r="C13" s="680" t="s">
        <v>790</v>
      </c>
      <c r="D13" s="681"/>
      <c r="E13" s="681"/>
      <c r="F13" s="681"/>
      <c r="G13" s="681"/>
      <c r="H13" s="681"/>
      <c r="I13" s="681"/>
      <c r="J13" s="681"/>
      <c r="K13" s="681"/>
      <c r="L13" s="681"/>
      <c r="M13" s="681"/>
      <c r="N13" s="681"/>
      <c r="O13" s="681"/>
      <c r="P13" s="681"/>
      <c r="Q13" s="681"/>
      <c r="R13" s="681"/>
      <c r="S13" s="681"/>
      <c r="T13" s="681"/>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c r="AS13" s="681"/>
      <c r="AT13" s="681"/>
      <c r="AU13" s="681"/>
      <c r="AV13" s="681"/>
      <c r="AW13" s="681"/>
      <c r="AX13" s="681"/>
      <c r="AY13" s="681"/>
      <c r="AZ13" s="681"/>
      <c r="BA13" s="681"/>
      <c r="BB13" s="681"/>
      <c r="BC13" s="681"/>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c r="CN13" s="681"/>
      <c r="CO13" s="681"/>
      <c r="CP13" s="681"/>
      <c r="CQ13" s="681"/>
      <c r="CR13" s="681"/>
      <c r="CS13" s="681"/>
      <c r="CT13" s="681"/>
      <c r="CU13" s="681"/>
      <c r="CV13" s="681"/>
      <c r="CW13" s="681"/>
      <c r="CX13" s="681"/>
      <c r="CY13" s="681"/>
      <c r="CZ13" s="681"/>
      <c r="DA13" s="681"/>
      <c r="DB13" s="681"/>
      <c r="DC13" s="681"/>
      <c r="DD13" s="681"/>
      <c r="DE13" s="681"/>
      <c r="DF13" s="681"/>
      <c r="DG13" s="681"/>
      <c r="DH13" s="681"/>
      <c r="DI13" s="681"/>
      <c r="DJ13" s="681"/>
      <c r="DK13" s="681"/>
      <c r="DL13" s="681"/>
      <c r="DM13" s="681"/>
      <c r="DN13" s="681"/>
      <c r="DO13" s="681"/>
      <c r="DP13" s="681"/>
      <c r="DQ13" s="681"/>
      <c r="DR13" s="681"/>
      <c r="DS13" s="681"/>
      <c r="DT13" s="681"/>
      <c r="DU13" s="681"/>
      <c r="DV13" s="681"/>
      <c r="DW13" s="681"/>
      <c r="DX13" s="681"/>
      <c r="DY13" s="681"/>
      <c r="DZ13" s="681"/>
      <c r="EA13" s="681"/>
      <c r="EB13" s="681"/>
      <c r="EC13" s="681"/>
      <c r="ED13" s="681"/>
      <c r="EE13" s="681"/>
      <c r="EF13" s="681"/>
      <c r="EG13" s="681"/>
      <c r="EH13" s="681"/>
      <c r="EI13" s="681"/>
      <c r="EJ13" s="681"/>
      <c r="EK13" s="681"/>
      <c r="EL13" s="681"/>
      <c r="EM13" s="681"/>
      <c r="EN13" s="681"/>
      <c r="EO13" s="681"/>
      <c r="EP13" s="681"/>
      <c r="EQ13" s="681"/>
      <c r="ER13" s="681"/>
      <c r="ES13" s="681"/>
      <c r="ET13" s="681"/>
      <c r="EU13" s="681"/>
      <c r="EV13" s="681"/>
      <c r="EW13" s="681"/>
      <c r="EX13" s="681"/>
      <c r="EY13" s="681"/>
      <c r="EZ13" s="681"/>
      <c r="FA13" s="681"/>
      <c r="FB13" s="681"/>
      <c r="FC13" s="681"/>
      <c r="FD13" s="681"/>
      <c r="FE13" s="681"/>
      <c r="FF13" s="681"/>
      <c r="FG13" s="681"/>
      <c r="FH13" s="681"/>
      <c r="FI13" s="681"/>
      <c r="FJ13" s="681"/>
      <c r="FK13" s="681"/>
      <c r="FL13" s="681"/>
      <c r="FM13" s="681"/>
      <c r="FN13" s="681"/>
      <c r="FO13" s="681"/>
      <c r="FP13" s="681"/>
      <c r="FQ13" s="681"/>
      <c r="FR13" s="681"/>
      <c r="FS13" s="681"/>
      <c r="FT13" s="681"/>
      <c r="FU13" s="681"/>
      <c r="FV13" s="681"/>
      <c r="FW13" s="681"/>
      <c r="FX13" s="681"/>
      <c r="FY13" s="681"/>
      <c r="FZ13" s="681"/>
      <c r="GA13" s="681"/>
      <c r="GB13" s="681"/>
      <c r="GC13" s="681"/>
      <c r="GD13" s="681"/>
      <c r="GE13" s="681"/>
      <c r="GF13" s="681"/>
      <c r="GG13" s="681"/>
      <c r="GH13" s="681"/>
      <c r="GI13" s="681"/>
      <c r="GJ13" s="681"/>
      <c r="GK13" s="681"/>
      <c r="GL13" s="681"/>
      <c r="GM13" s="681"/>
      <c r="GN13" s="681"/>
      <c r="GO13" s="681"/>
      <c r="GP13" s="681"/>
      <c r="GQ13" s="681"/>
      <c r="GR13" s="681"/>
      <c r="GS13" s="681"/>
      <c r="GT13" s="681"/>
      <c r="GU13" s="681"/>
      <c r="GV13" s="681"/>
      <c r="GW13" s="681"/>
      <c r="GX13" s="681"/>
      <c r="GY13" s="681"/>
      <c r="GZ13" s="681"/>
      <c r="HA13" s="681"/>
      <c r="HB13" s="681"/>
      <c r="HC13" s="681"/>
      <c r="HD13" s="681"/>
      <c r="HE13" s="681"/>
      <c r="HF13" s="681"/>
      <c r="HG13" s="681"/>
      <c r="HH13" s="681"/>
      <c r="HI13" s="681"/>
      <c r="HJ13" s="681"/>
      <c r="HK13" s="681"/>
      <c r="HL13" s="681"/>
      <c r="HM13" s="681"/>
      <c r="HN13" s="681"/>
      <c r="HO13" s="681"/>
      <c r="HP13" s="681"/>
      <c r="HQ13" s="681"/>
      <c r="HR13" s="681"/>
      <c r="HS13" s="681"/>
      <c r="HT13" s="681"/>
      <c r="HU13" s="681"/>
      <c r="HV13" s="681"/>
      <c r="HW13" s="681"/>
      <c r="HX13" s="681"/>
      <c r="HY13" s="681"/>
      <c r="HZ13" s="681"/>
      <c r="IA13" s="681"/>
      <c r="IB13" s="681"/>
      <c r="IC13" s="681"/>
      <c r="ID13" s="681"/>
      <c r="IE13" s="681"/>
      <c r="IF13" s="681"/>
      <c r="IG13" s="681"/>
      <c r="IH13" s="681"/>
      <c r="II13" s="681"/>
      <c r="IJ13" s="681"/>
      <c r="IK13" s="681"/>
      <c r="IL13" s="681"/>
      <c r="IM13" s="681"/>
      <c r="IN13" s="681"/>
      <c r="IO13" s="681"/>
      <c r="IP13" s="681"/>
      <c r="IQ13" s="681"/>
      <c r="IR13" s="681"/>
      <c r="IS13" s="681"/>
      <c r="IT13" s="681"/>
      <c r="IU13" s="681"/>
      <c r="IV13" s="681"/>
    </row>
    <row r="14" s="669" customFormat="1" ht="16.5" spans="1:256">
      <c r="A14" s="682" t="s">
        <v>800</v>
      </c>
      <c r="B14" s="627">
        <f>管理用利润表!B24</f>
        <v>0</v>
      </c>
      <c r="C14" s="627">
        <f>管理用利润表!C24</f>
        <v>0</v>
      </c>
      <c r="D14" s="681"/>
      <c r="E14" s="681"/>
      <c r="F14" s="681"/>
      <c r="G14" s="681"/>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1"/>
      <c r="BW14" s="681"/>
      <c r="BX14" s="681"/>
      <c r="BY14" s="681"/>
      <c r="BZ14" s="681"/>
      <c r="CA14" s="681"/>
      <c r="CB14" s="681"/>
      <c r="CC14" s="681"/>
      <c r="CD14" s="681"/>
      <c r="CE14" s="681"/>
      <c r="CF14" s="681"/>
      <c r="CG14" s="681"/>
      <c r="CH14" s="681"/>
      <c r="CI14" s="681"/>
      <c r="CJ14" s="681"/>
      <c r="CK14" s="681"/>
      <c r="CL14" s="681"/>
      <c r="CM14" s="681"/>
      <c r="CN14" s="681"/>
      <c r="CO14" s="681"/>
      <c r="CP14" s="681"/>
      <c r="CQ14" s="681"/>
      <c r="CR14" s="681"/>
      <c r="CS14" s="681"/>
      <c r="CT14" s="681"/>
      <c r="CU14" s="681"/>
      <c r="CV14" s="681"/>
      <c r="CW14" s="681"/>
      <c r="CX14" s="681"/>
      <c r="CY14" s="681"/>
      <c r="CZ14" s="681"/>
      <c r="DA14" s="681"/>
      <c r="DB14" s="681"/>
      <c r="DC14" s="681"/>
      <c r="DD14" s="681"/>
      <c r="DE14" s="681"/>
      <c r="DF14" s="681"/>
      <c r="DG14" s="681"/>
      <c r="DH14" s="681"/>
      <c r="DI14" s="681"/>
      <c r="DJ14" s="681"/>
      <c r="DK14" s="681"/>
      <c r="DL14" s="681"/>
      <c r="DM14" s="681"/>
      <c r="DN14" s="681"/>
      <c r="DO14" s="681"/>
      <c r="DP14" s="681"/>
      <c r="DQ14" s="681"/>
      <c r="DR14" s="681"/>
      <c r="DS14" s="681"/>
      <c r="DT14" s="681"/>
      <c r="DU14" s="681"/>
      <c r="DV14" s="681"/>
      <c r="DW14" s="681"/>
      <c r="DX14" s="681"/>
      <c r="DY14" s="681"/>
      <c r="DZ14" s="681"/>
      <c r="EA14" s="681"/>
      <c r="EB14" s="681"/>
      <c r="EC14" s="681"/>
      <c r="ED14" s="681"/>
      <c r="EE14" s="681"/>
      <c r="EF14" s="681"/>
      <c r="EG14" s="681"/>
      <c r="EH14" s="681"/>
      <c r="EI14" s="681"/>
      <c r="EJ14" s="681"/>
      <c r="EK14" s="681"/>
      <c r="EL14" s="681"/>
      <c r="EM14" s="681"/>
      <c r="EN14" s="681"/>
      <c r="EO14" s="681"/>
      <c r="EP14" s="681"/>
      <c r="EQ14" s="681"/>
      <c r="ER14" s="681"/>
      <c r="ES14" s="681"/>
      <c r="ET14" s="681"/>
      <c r="EU14" s="681"/>
      <c r="EV14" s="681"/>
      <c r="EW14" s="681"/>
      <c r="EX14" s="681"/>
      <c r="EY14" s="681"/>
      <c r="EZ14" s="681"/>
      <c r="FA14" s="681"/>
      <c r="FB14" s="681"/>
      <c r="FC14" s="681"/>
      <c r="FD14" s="681"/>
      <c r="FE14" s="681"/>
      <c r="FF14" s="681"/>
      <c r="FG14" s="681"/>
      <c r="FH14" s="681"/>
      <c r="FI14" s="681"/>
      <c r="FJ14" s="681"/>
      <c r="FK14" s="681"/>
      <c r="FL14" s="681"/>
      <c r="FM14" s="681"/>
      <c r="FN14" s="681"/>
      <c r="FO14" s="681"/>
      <c r="FP14" s="681"/>
      <c r="FQ14" s="681"/>
      <c r="FR14" s="681"/>
      <c r="FS14" s="681"/>
      <c r="FT14" s="681"/>
      <c r="FU14" s="681"/>
      <c r="FV14" s="681"/>
      <c r="FW14" s="681"/>
      <c r="FX14" s="681"/>
      <c r="FY14" s="681"/>
      <c r="FZ14" s="681"/>
      <c r="GA14" s="681"/>
      <c r="GB14" s="681"/>
      <c r="GC14" s="681"/>
      <c r="GD14" s="681"/>
      <c r="GE14" s="681"/>
      <c r="GF14" s="681"/>
      <c r="GG14" s="681"/>
      <c r="GH14" s="681"/>
      <c r="GI14" s="681"/>
      <c r="GJ14" s="681"/>
      <c r="GK14" s="681"/>
      <c r="GL14" s="681"/>
      <c r="GM14" s="681"/>
      <c r="GN14" s="681"/>
      <c r="GO14" s="681"/>
      <c r="GP14" s="681"/>
      <c r="GQ14" s="681"/>
      <c r="GR14" s="681"/>
      <c r="GS14" s="681"/>
      <c r="GT14" s="681"/>
      <c r="GU14" s="681"/>
      <c r="GV14" s="681"/>
      <c r="GW14" s="681"/>
      <c r="GX14" s="681"/>
      <c r="GY14" s="681"/>
      <c r="GZ14" s="681"/>
      <c r="HA14" s="681"/>
      <c r="HB14" s="681"/>
      <c r="HC14" s="681"/>
      <c r="HD14" s="681"/>
      <c r="HE14" s="681"/>
      <c r="HF14" s="681"/>
      <c r="HG14" s="681"/>
      <c r="HH14" s="681"/>
      <c r="HI14" s="681"/>
      <c r="HJ14" s="681"/>
      <c r="HK14" s="681"/>
      <c r="HL14" s="681"/>
      <c r="HM14" s="681"/>
      <c r="HN14" s="681"/>
      <c r="HO14" s="681"/>
      <c r="HP14" s="681"/>
      <c r="HQ14" s="681"/>
      <c r="HR14" s="681"/>
      <c r="HS14" s="681"/>
      <c r="HT14" s="681"/>
      <c r="HU14" s="681"/>
      <c r="HV14" s="681"/>
      <c r="HW14" s="681"/>
      <c r="HX14" s="681"/>
      <c r="HY14" s="681"/>
      <c r="HZ14" s="681"/>
      <c r="IA14" s="681"/>
      <c r="IB14" s="681"/>
      <c r="IC14" s="681"/>
      <c r="ID14" s="681"/>
      <c r="IE14" s="681"/>
      <c r="IF14" s="681"/>
      <c r="IG14" s="681"/>
      <c r="IH14" s="681"/>
      <c r="II14" s="681"/>
      <c r="IJ14" s="681"/>
      <c r="IK14" s="681"/>
      <c r="IL14" s="681"/>
      <c r="IM14" s="681"/>
      <c r="IN14" s="681"/>
      <c r="IO14" s="681"/>
      <c r="IP14" s="681"/>
      <c r="IQ14" s="681"/>
      <c r="IR14" s="681"/>
      <c r="IS14" s="681"/>
      <c r="IT14" s="681"/>
      <c r="IU14" s="681"/>
      <c r="IV14" s="681"/>
    </row>
    <row r="15" s="669" customFormat="1" ht="16.5" spans="1:256">
      <c r="A15" s="682" t="s">
        <v>801</v>
      </c>
      <c r="B15" s="627">
        <f>管理用资负表!E26-管理用资负表!F26</f>
        <v>-53648</v>
      </c>
      <c r="C15" s="684"/>
      <c r="D15" s="681"/>
      <c r="E15" s="681"/>
      <c r="F15" s="681"/>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681"/>
      <c r="DB15" s="681"/>
      <c r="DC15" s="681"/>
      <c r="DD15" s="681"/>
      <c r="DE15" s="681"/>
      <c r="DF15" s="681"/>
      <c r="DG15" s="681"/>
      <c r="DH15" s="681"/>
      <c r="DI15" s="681"/>
      <c r="DJ15" s="681"/>
      <c r="DK15" s="681"/>
      <c r="DL15" s="681"/>
      <c r="DM15" s="681"/>
      <c r="DN15" s="681"/>
      <c r="DO15" s="681"/>
      <c r="DP15" s="681"/>
      <c r="DQ15" s="681"/>
      <c r="DR15" s="681"/>
      <c r="DS15" s="681"/>
      <c r="DT15" s="681"/>
      <c r="DU15" s="681"/>
      <c r="DV15" s="681"/>
      <c r="DW15" s="681"/>
      <c r="DX15" s="681"/>
      <c r="DY15" s="681"/>
      <c r="DZ15" s="681"/>
      <c r="EA15" s="681"/>
      <c r="EB15" s="681"/>
      <c r="EC15" s="681"/>
      <c r="ED15" s="681"/>
      <c r="EE15" s="681"/>
      <c r="EF15" s="681"/>
      <c r="EG15" s="681"/>
      <c r="EH15" s="681"/>
      <c r="EI15" s="681"/>
      <c r="EJ15" s="681"/>
      <c r="EK15" s="681"/>
      <c r="EL15" s="681"/>
      <c r="EM15" s="681"/>
      <c r="EN15" s="681"/>
      <c r="EO15" s="681"/>
      <c r="EP15" s="681"/>
      <c r="EQ15" s="681"/>
      <c r="ER15" s="681"/>
      <c r="ES15" s="681"/>
      <c r="ET15" s="681"/>
      <c r="EU15" s="681"/>
      <c r="EV15" s="681"/>
      <c r="EW15" s="681"/>
      <c r="EX15" s="681"/>
      <c r="EY15" s="681"/>
      <c r="EZ15" s="681"/>
      <c r="FA15" s="681"/>
      <c r="FB15" s="681"/>
      <c r="FC15" s="681"/>
      <c r="FD15" s="681"/>
      <c r="FE15" s="681"/>
      <c r="FF15" s="681"/>
      <c r="FG15" s="681"/>
      <c r="FH15" s="681"/>
      <c r="FI15" s="681"/>
      <c r="FJ15" s="681"/>
      <c r="FK15" s="681"/>
      <c r="FL15" s="681"/>
      <c r="FM15" s="681"/>
      <c r="FN15" s="681"/>
      <c r="FO15" s="681"/>
      <c r="FP15" s="681"/>
      <c r="FQ15" s="681"/>
      <c r="FR15" s="681"/>
      <c r="FS15" s="681"/>
      <c r="FT15" s="681"/>
      <c r="FU15" s="681"/>
      <c r="FV15" s="681"/>
      <c r="FW15" s="681"/>
      <c r="FX15" s="681"/>
      <c r="FY15" s="681"/>
      <c r="FZ15" s="681"/>
      <c r="GA15" s="681"/>
      <c r="GB15" s="681"/>
      <c r="GC15" s="681"/>
      <c r="GD15" s="681"/>
      <c r="GE15" s="681"/>
      <c r="GF15" s="681"/>
      <c r="GG15" s="681"/>
      <c r="GH15" s="681"/>
      <c r="GI15" s="681"/>
      <c r="GJ15" s="681"/>
      <c r="GK15" s="681"/>
      <c r="GL15" s="681"/>
      <c r="GM15" s="681"/>
      <c r="GN15" s="681"/>
      <c r="GO15" s="681"/>
      <c r="GP15" s="681"/>
      <c r="GQ15" s="681"/>
      <c r="GR15" s="681"/>
      <c r="GS15" s="681"/>
      <c r="GT15" s="681"/>
      <c r="GU15" s="681"/>
      <c r="GV15" s="681"/>
      <c r="GW15" s="681"/>
      <c r="GX15" s="681"/>
      <c r="GY15" s="681"/>
      <c r="GZ15" s="681"/>
      <c r="HA15" s="681"/>
      <c r="HB15" s="681"/>
      <c r="HC15" s="681"/>
      <c r="HD15" s="681"/>
      <c r="HE15" s="681"/>
      <c r="HF15" s="681"/>
      <c r="HG15" s="681"/>
      <c r="HH15" s="681"/>
      <c r="HI15" s="681"/>
      <c r="HJ15" s="681"/>
      <c r="HK15" s="681"/>
      <c r="HL15" s="681"/>
      <c r="HM15" s="681"/>
      <c r="HN15" s="681"/>
      <c r="HO15" s="681"/>
      <c r="HP15" s="681"/>
      <c r="HQ15" s="681"/>
      <c r="HR15" s="681"/>
      <c r="HS15" s="681"/>
      <c r="HT15" s="681"/>
      <c r="HU15" s="681"/>
      <c r="HV15" s="681"/>
      <c r="HW15" s="681"/>
      <c r="HX15" s="681"/>
      <c r="HY15" s="681"/>
      <c r="HZ15" s="681"/>
      <c r="IA15" s="681"/>
      <c r="IB15" s="681"/>
      <c r="IC15" s="681"/>
      <c r="ID15" s="681"/>
      <c r="IE15" s="681"/>
      <c r="IF15" s="681"/>
      <c r="IG15" s="681"/>
      <c r="IH15" s="681"/>
      <c r="II15" s="681"/>
      <c r="IJ15" s="681"/>
      <c r="IK15" s="681"/>
      <c r="IL15" s="681"/>
      <c r="IM15" s="681"/>
      <c r="IN15" s="681"/>
      <c r="IO15" s="681"/>
      <c r="IP15" s="681"/>
      <c r="IQ15" s="681"/>
      <c r="IR15" s="681"/>
      <c r="IS15" s="681"/>
      <c r="IT15" s="681"/>
      <c r="IU15" s="681"/>
      <c r="IV15" s="681"/>
    </row>
    <row r="16" s="669" customFormat="1" ht="16.5" spans="1:256">
      <c r="A16" s="682" t="s">
        <v>802</v>
      </c>
      <c r="B16" s="627">
        <f>B14-B15</f>
        <v>53648</v>
      </c>
      <c r="C16" s="627">
        <f>C14-C15</f>
        <v>0</v>
      </c>
      <c r="D16" s="681"/>
      <c r="E16" s="681"/>
      <c r="F16" s="681"/>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681"/>
      <c r="DB16" s="681"/>
      <c r="DC16" s="681"/>
      <c r="DD16" s="681"/>
      <c r="DE16" s="681"/>
      <c r="DF16" s="681"/>
      <c r="DG16" s="681"/>
      <c r="DH16" s="681"/>
      <c r="DI16" s="681"/>
      <c r="DJ16" s="681"/>
      <c r="DK16" s="681"/>
      <c r="DL16" s="681"/>
      <c r="DM16" s="681"/>
      <c r="DN16" s="681"/>
      <c r="DO16" s="681"/>
      <c r="DP16" s="681"/>
      <c r="DQ16" s="681"/>
      <c r="DR16" s="681"/>
      <c r="DS16" s="681"/>
      <c r="DT16" s="681"/>
      <c r="DU16" s="681"/>
      <c r="DV16" s="681"/>
      <c r="DW16" s="681"/>
      <c r="DX16" s="681"/>
      <c r="DY16" s="681"/>
      <c r="DZ16" s="681"/>
      <c r="EA16" s="681"/>
      <c r="EB16" s="681"/>
      <c r="EC16" s="681"/>
      <c r="ED16" s="681"/>
      <c r="EE16" s="681"/>
      <c r="EF16" s="681"/>
      <c r="EG16" s="681"/>
      <c r="EH16" s="681"/>
      <c r="EI16" s="681"/>
      <c r="EJ16" s="681"/>
      <c r="EK16" s="681"/>
      <c r="EL16" s="681"/>
      <c r="EM16" s="681"/>
      <c r="EN16" s="681"/>
      <c r="EO16" s="681"/>
      <c r="EP16" s="681"/>
      <c r="EQ16" s="681"/>
      <c r="ER16" s="681"/>
      <c r="ES16" s="681"/>
      <c r="ET16" s="681"/>
      <c r="EU16" s="681"/>
      <c r="EV16" s="681"/>
      <c r="EW16" s="681"/>
      <c r="EX16" s="681"/>
      <c r="EY16" s="681"/>
      <c r="EZ16" s="681"/>
      <c r="FA16" s="681"/>
      <c r="FB16" s="681"/>
      <c r="FC16" s="681"/>
      <c r="FD16" s="681"/>
      <c r="FE16" s="681"/>
      <c r="FF16" s="681"/>
      <c r="FG16" s="681"/>
      <c r="FH16" s="681"/>
      <c r="FI16" s="681"/>
      <c r="FJ16" s="681"/>
      <c r="FK16" s="681"/>
      <c r="FL16" s="681"/>
      <c r="FM16" s="681"/>
      <c r="FN16" s="681"/>
      <c r="FO16" s="681"/>
      <c r="FP16" s="681"/>
      <c r="FQ16" s="681"/>
      <c r="FR16" s="681"/>
      <c r="FS16" s="681"/>
      <c r="FT16" s="681"/>
      <c r="FU16" s="681"/>
      <c r="FV16" s="681"/>
      <c r="FW16" s="681"/>
      <c r="FX16" s="681"/>
      <c r="FY16" s="681"/>
      <c r="FZ16" s="681"/>
      <c r="GA16" s="681"/>
      <c r="GB16" s="681"/>
      <c r="GC16" s="681"/>
      <c r="GD16" s="681"/>
      <c r="GE16" s="681"/>
      <c r="GF16" s="681"/>
      <c r="GG16" s="681"/>
      <c r="GH16" s="681"/>
      <c r="GI16" s="681"/>
      <c r="GJ16" s="681"/>
      <c r="GK16" s="681"/>
      <c r="GL16" s="681"/>
      <c r="GM16" s="681"/>
      <c r="GN16" s="681"/>
      <c r="GO16" s="681"/>
      <c r="GP16" s="681"/>
      <c r="GQ16" s="681"/>
      <c r="GR16" s="681"/>
      <c r="GS16" s="681"/>
      <c r="GT16" s="681"/>
      <c r="GU16" s="681"/>
      <c r="GV16" s="681"/>
      <c r="GW16" s="681"/>
      <c r="GX16" s="681"/>
      <c r="GY16" s="681"/>
      <c r="GZ16" s="681"/>
      <c r="HA16" s="681"/>
      <c r="HB16" s="681"/>
      <c r="HC16" s="681"/>
      <c r="HD16" s="681"/>
      <c r="HE16" s="681"/>
      <c r="HF16" s="681"/>
      <c r="HG16" s="681"/>
      <c r="HH16" s="681"/>
      <c r="HI16" s="681"/>
      <c r="HJ16" s="681"/>
      <c r="HK16" s="681"/>
      <c r="HL16" s="681"/>
      <c r="HM16" s="681"/>
      <c r="HN16" s="681"/>
      <c r="HO16" s="681"/>
      <c r="HP16" s="681"/>
      <c r="HQ16" s="681"/>
      <c r="HR16" s="681"/>
      <c r="HS16" s="681"/>
      <c r="HT16" s="681"/>
      <c r="HU16" s="681"/>
      <c r="HV16" s="681"/>
      <c r="HW16" s="681"/>
      <c r="HX16" s="681"/>
      <c r="HY16" s="681"/>
      <c r="HZ16" s="681"/>
      <c r="IA16" s="681"/>
      <c r="IB16" s="681"/>
      <c r="IC16" s="681"/>
      <c r="ID16" s="681"/>
      <c r="IE16" s="681"/>
      <c r="IF16" s="681"/>
      <c r="IG16" s="681"/>
      <c r="IH16" s="681"/>
      <c r="II16" s="681"/>
      <c r="IJ16" s="681"/>
      <c r="IK16" s="681"/>
      <c r="IL16" s="681"/>
      <c r="IM16" s="681"/>
      <c r="IN16" s="681"/>
      <c r="IO16" s="681"/>
      <c r="IP16" s="681"/>
      <c r="IQ16" s="681"/>
      <c r="IR16" s="681"/>
      <c r="IS16" s="681"/>
      <c r="IT16" s="681"/>
      <c r="IU16" s="681"/>
      <c r="IV16" s="681"/>
    </row>
    <row r="17" s="669" customFormat="1" ht="16.5" spans="1:256">
      <c r="A17" s="683" t="s">
        <v>803</v>
      </c>
      <c r="B17" s="627">
        <f>所有者权益变动表!G23</f>
        <v>0</v>
      </c>
      <c r="C17" s="627">
        <f>所有者权益变动表!M23</f>
        <v>0</v>
      </c>
      <c r="D17" s="681"/>
      <c r="E17" s="681"/>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681"/>
      <c r="DB17" s="681"/>
      <c r="DC17" s="681"/>
      <c r="DD17" s="681"/>
      <c r="DE17" s="681"/>
      <c r="DF17" s="681"/>
      <c r="DG17" s="681"/>
      <c r="DH17" s="681"/>
      <c r="DI17" s="681"/>
      <c r="DJ17" s="681"/>
      <c r="DK17" s="681"/>
      <c r="DL17" s="681"/>
      <c r="DM17" s="681"/>
      <c r="DN17" s="681"/>
      <c r="DO17" s="681"/>
      <c r="DP17" s="681"/>
      <c r="DQ17" s="681"/>
      <c r="DR17" s="681"/>
      <c r="DS17" s="681"/>
      <c r="DT17" s="681"/>
      <c r="DU17" s="681"/>
      <c r="DV17" s="681"/>
      <c r="DW17" s="681"/>
      <c r="DX17" s="681"/>
      <c r="DY17" s="681"/>
      <c r="DZ17" s="681"/>
      <c r="EA17" s="681"/>
      <c r="EB17" s="681"/>
      <c r="EC17" s="681"/>
      <c r="ED17" s="681"/>
      <c r="EE17" s="681"/>
      <c r="EF17" s="681"/>
      <c r="EG17" s="681"/>
      <c r="EH17" s="681"/>
      <c r="EI17" s="681"/>
      <c r="EJ17" s="681"/>
      <c r="EK17" s="681"/>
      <c r="EL17" s="681"/>
      <c r="EM17" s="681"/>
      <c r="EN17" s="681"/>
      <c r="EO17" s="681"/>
      <c r="EP17" s="681"/>
      <c r="EQ17" s="681"/>
      <c r="ER17" s="681"/>
      <c r="ES17" s="681"/>
      <c r="ET17" s="681"/>
      <c r="EU17" s="681"/>
      <c r="EV17" s="681"/>
      <c r="EW17" s="681"/>
      <c r="EX17" s="681"/>
      <c r="EY17" s="681"/>
      <c r="EZ17" s="681"/>
      <c r="FA17" s="681"/>
      <c r="FB17" s="681"/>
      <c r="FC17" s="681"/>
      <c r="FD17" s="681"/>
      <c r="FE17" s="681"/>
      <c r="FF17" s="681"/>
      <c r="FG17" s="681"/>
      <c r="FH17" s="681"/>
      <c r="FI17" s="681"/>
      <c r="FJ17" s="681"/>
      <c r="FK17" s="681"/>
      <c r="FL17" s="681"/>
      <c r="FM17" s="681"/>
      <c r="FN17" s="681"/>
      <c r="FO17" s="681"/>
      <c r="FP17" s="681"/>
      <c r="FQ17" s="681"/>
      <c r="FR17" s="681"/>
      <c r="FS17" s="681"/>
      <c r="FT17" s="681"/>
      <c r="FU17" s="681"/>
      <c r="FV17" s="681"/>
      <c r="FW17" s="681"/>
      <c r="FX17" s="681"/>
      <c r="FY17" s="681"/>
      <c r="FZ17" s="681"/>
      <c r="GA17" s="681"/>
      <c r="GB17" s="681"/>
      <c r="GC17" s="681"/>
      <c r="GD17" s="681"/>
      <c r="GE17" s="681"/>
      <c r="GF17" s="681"/>
      <c r="GG17" s="681"/>
      <c r="GH17" s="681"/>
      <c r="GI17" s="681"/>
      <c r="GJ17" s="681"/>
      <c r="GK17" s="681"/>
      <c r="GL17" s="681"/>
      <c r="GM17" s="681"/>
      <c r="GN17" s="681"/>
      <c r="GO17" s="681"/>
      <c r="GP17" s="681"/>
      <c r="GQ17" s="681"/>
      <c r="GR17" s="681"/>
      <c r="GS17" s="681"/>
      <c r="GT17" s="681"/>
      <c r="GU17" s="681"/>
      <c r="GV17" s="681"/>
      <c r="GW17" s="681"/>
      <c r="GX17" s="681"/>
      <c r="GY17" s="681"/>
      <c r="GZ17" s="681"/>
      <c r="HA17" s="681"/>
      <c r="HB17" s="681"/>
      <c r="HC17" s="681"/>
      <c r="HD17" s="681"/>
      <c r="HE17" s="681"/>
      <c r="HF17" s="681"/>
      <c r="HG17" s="681"/>
      <c r="HH17" s="681"/>
      <c r="HI17" s="681"/>
      <c r="HJ17" s="681"/>
      <c r="HK17" s="681"/>
      <c r="HL17" s="681"/>
      <c r="HM17" s="681"/>
      <c r="HN17" s="681"/>
      <c r="HO17" s="681"/>
      <c r="HP17" s="681"/>
      <c r="HQ17" s="681"/>
      <c r="HR17" s="681"/>
      <c r="HS17" s="681"/>
      <c r="HT17" s="681"/>
      <c r="HU17" s="681"/>
      <c r="HV17" s="681"/>
      <c r="HW17" s="681"/>
      <c r="HX17" s="681"/>
      <c r="HY17" s="681"/>
      <c r="HZ17" s="681"/>
      <c r="IA17" s="681"/>
      <c r="IB17" s="681"/>
      <c r="IC17" s="681"/>
      <c r="ID17" s="681"/>
      <c r="IE17" s="681"/>
      <c r="IF17" s="681"/>
      <c r="IG17" s="681"/>
      <c r="IH17" s="681"/>
      <c r="II17" s="681"/>
      <c r="IJ17" s="681"/>
      <c r="IK17" s="681"/>
      <c r="IL17" s="681"/>
      <c r="IM17" s="681"/>
      <c r="IN17" s="681"/>
      <c r="IO17" s="681"/>
      <c r="IP17" s="681"/>
      <c r="IQ17" s="681"/>
      <c r="IR17" s="681"/>
      <c r="IS17" s="681"/>
      <c r="IT17" s="681"/>
      <c r="IU17" s="681"/>
      <c r="IV17" s="681"/>
    </row>
    <row r="18" s="669" customFormat="1" ht="16.5" spans="1:256">
      <c r="A18" s="683" t="s">
        <v>804</v>
      </c>
      <c r="B18" s="627">
        <f>所有者权益变动表!G9</f>
        <v>0</v>
      </c>
      <c r="C18" s="627">
        <f>所有者权益变动表!M9</f>
        <v>0</v>
      </c>
      <c r="D18" s="681"/>
      <c r="E18" s="681"/>
      <c r="F18" s="681"/>
      <c r="G18" s="681"/>
      <c r="H18" s="681"/>
      <c r="I18" s="681"/>
      <c r="J18" s="681"/>
      <c r="K18" s="681"/>
      <c r="L18" s="681"/>
      <c r="M18" s="681"/>
      <c r="N18" s="681"/>
      <c r="O18" s="681"/>
      <c r="P18" s="681"/>
      <c r="Q18" s="681"/>
      <c r="R18" s="681"/>
      <c r="S18" s="681"/>
      <c r="T18" s="681"/>
      <c r="U18" s="681"/>
      <c r="V18" s="681"/>
      <c r="W18" s="681"/>
      <c r="X18" s="681"/>
      <c r="Y18" s="681"/>
      <c r="Z18" s="681"/>
      <c r="AA18" s="681"/>
      <c r="AB18" s="681"/>
      <c r="AC18" s="681"/>
      <c r="AD18" s="681"/>
      <c r="AE18" s="681"/>
      <c r="AF18" s="681"/>
      <c r="AG18" s="681"/>
      <c r="AH18" s="681"/>
      <c r="AI18" s="681"/>
      <c r="AJ18" s="681"/>
      <c r="AK18" s="681"/>
      <c r="AL18" s="681"/>
      <c r="AM18" s="681"/>
      <c r="AN18" s="681"/>
      <c r="AO18" s="681"/>
      <c r="AP18" s="681"/>
      <c r="AQ18" s="681"/>
      <c r="AR18" s="681"/>
      <c r="AS18" s="681"/>
      <c r="AT18" s="681"/>
      <c r="AU18" s="681"/>
      <c r="AV18" s="681"/>
      <c r="AW18" s="681"/>
      <c r="AX18" s="681"/>
      <c r="AY18" s="681"/>
      <c r="AZ18" s="681"/>
      <c r="BA18" s="681"/>
      <c r="BB18" s="681"/>
      <c r="BC18" s="681"/>
      <c r="BD18" s="681"/>
      <c r="BE18" s="681"/>
      <c r="BF18" s="681"/>
      <c r="BG18" s="681"/>
      <c r="BH18" s="681"/>
      <c r="BI18" s="681"/>
      <c r="BJ18" s="681"/>
      <c r="BK18" s="681"/>
      <c r="BL18" s="681"/>
      <c r="BM18" s="681"/>
      <c r="BN18" s="681"/>
      <c r="BO18" s="681"/>
      <c r="BP18" s="681"/>
      <c r="BQ18" s="681"/>
      <c r="BR18" s="681"/>
      <c r="BS18" s="681"/>
      <c r="BT18" s="681"/>
      <c r="BU18" s="681"/>
      <c r="BV18" s="681"/>
      <c r="BW18" s="681"/>
      <c r="BX18" s="681"/>
      <c r="BY18" s="681"/>
      <c r="BZ18" s="681"/>
      <c r="CA18" s="681"/>
      <c r="CB18" s="681"/>
      <c r="CC18" s="681"/>
      <c r="CD18" s="681"/>
      <c r="CE18" s="681"/>
      <c r="CF18" s="681"/>
      <c r="CG18" s="681"/>
      <c r="CH18" s="681"/>
      <c r="CI18" s="681"/>
      <c r="CJ18" s="681"/>
      <c r="CK18" s="681"/>
      <c r="CL18" s="681"/>
      <c r="CM18" s="681"/>
      <c r="CN18" s="681"/>
      <c r="CO18" s="681"/>
      <c r="CP18" s="681"/>
      <c r="CQ18" s="681"/>
      <c r="CR18" s="681"/>
      <c r="CS18" s="681"/>
      <c r="CT18" s="681"/>
      <c r="CU18" s="681"/>
      <c r="CV18" s="681"/>
      <c r="CW18" s="681"/>
      <c r="CX18" s="681"/>
      <c r="CY18" s="681"/>
      <c r="CZ18" s="681"/>
      <c r="DA18" s="681"/>
      <c r="DB18" s="681"/>
      <c r="DC18" s="681"/>
      <c r="DD18" s="681"/>
      <c r="DE18" s="681"/>
      <c r="DF18" s="681"/>
      <c r="DG18" s="681"/>
      <c r="DH18" s="681"/>
      <c r="DI18" s="681"/>
      <c r="DJ18" s="681"/>
      <c r="DK18" s="681"/>
      <c r="DL18" s="681"/>
      <c r="DM18" s="681"/>
      <c r="DN18" s="681"/>
      <c r="DO18" s="681"/>
      <c r="DP18" s="681"/>
      <c r="DQ18" s="681"/>
      <c r="DR18" s="681"/>
      <c r="DS18" s="681"/>
      <c r="DT18" s="681"/>
      <c r="DU18" s="681"/>
      <c r="DV18" s="681"/>
      <c r="DW18" s="681"/>
      <c r="DX18" s="681"/>
      <c r="DY18" s="681"/>
      <c r="DZ18" s="681"/>
      <c r="EA18" s="681"/>
      <c r="EB18" s="681"/>
      <c r="EC18" s="681"/>
      <c r="ED18" s="681"/>
      <c r="EE18" s="681"/>
      <c r="EF18" s="681"/>
      <c r="EG18" s="681"/>
      <c r="EH18" s="681"/>
      <c r="EI18" s="681"/>
      <c r="EJ18" s="681"/>
      <c r="EK18" s="681"/>
      <c r="EL18" s="681"/>
      <c r="EM18" s="681"/>
      <c r="EN18" s="681"/>
      <c r="EO18" s="681"/>
      <c r="EP18" s="681"/>
      <c r="EQ18" s="681"/>
      <c r="ER18" s="681"/>
      <c r="ES18" s="681"/>
      <c r="ET18" s="681"/>
      <c r="EU18" s="681"/>
      <c r="EV18" s="681"/>
      <c r="EW18" s="681"/>
      <c r="EX18" s="681"/>
      <c r="EY18" s="681"/>
      <c r="EZ18" s="681"/>
      <c r="FA18" s="681"/>
      <c r="FB18" s="681"/>
      <c r="FC18" s="681"/>
      <c r="FD18" s="681"/>
      <c r="FE18" s="681"/>
      <c r="FF18" s="681"/>
      <c r="FG18" s="681"/>
      <c r="FH18" s="681"/>
      <c r="FI18" s="681"/>
      <c r="FJ18" s="681"/>
      <c r="FK18" s="681"/>
      <c r="FL18" s="681"/>
      <c r="FM18" s="681"/>
      <c r="FN18" s="681"/>
      <c r="FO18" s="681"/>
      <c r="FP18" s="681"/>
      <c r="FQ18" s="681"/>
      <c r="FR18" s="681"/>
      <c r="FS18" s="681"/>
      <c r="FT18" s="681"/>
      <c r="FU18" s="681"/>
      <c r="FV18" s="681"/>
      <c r="FW18" s="681"/>
      <c r="FX18" s="681"/>
      <c r="FY18" s="681"/>
      <c r="FZ18" s="681"/>
      <c r="GA18" s="681"/>
      <c r="GB18" s="681"/>
      <c r="GC18" s="681"/>
      <c r="GD18" s="681"/>
      <c r="GE18" s="681"/>
      <c r="GF18" s="681"/>
      <c r="GG18" s="681"/>
      <c r="GH18" s="681"/>
      <c r="GI18" s="681"/>
      <c r="GJ18" s="681"/>
      <c r="GK18" s="681"/>
      <c r="GL18" s="681"/>
      <c r="GM18" s="681"/>
      <c r="GN18" s="681"/>
      <c r="GO18" s="681"/>
      <c r="GP18" s="681"/>
      <c r="GQ18" s="681"/>
      <c r="GR18" s="681"/>
      <c r="GS18" s="681"/>
      <c r="GT18" s="681"/>
      <c r="GU18" s="681"/>
      <c r="GV18" s="681"/>
      <c r="GW18" s="681"/>
      <c r="GX18" s="681"/>
      <c r="GY18" s="681"/>
      <c r="GZ18" s="681"/>
      <c r="HA18" s="681"/>
      <c r="HB18" s="681"/>
      <c r="HC18" s="681"/>
      <c r="HD18" s="681"/>
      <c r="HE18" s="681"/>
      <c r="HF18" s="681"/>
      <c r="HG18" s="681"/>
      <c r="HH18" s="681"/>
      <c r="HI18" s="681"/>
      <c r="HJ18" s="681"/>
      <c r="HK18" s="681"/>
      <c r="HL18" s="681"/>
      <c r="HM18" s="681"/>
      <c r="HN18" s="681"/>
      <c r="HO18" s="681"/>
      <c r="HP18" s="681"/>
      <c r="HQ18" s="681"/>
      <c r="HR18" s="681"/>
      <c r="HS18" s="681"/>
      <c r="HT18" s="681"/>
      <c r="HU18" s="681"/>
      <c r="HV18" s="681"/>
      <c r="HW18" s="681"/>
      <c r="HX18" s="681"/>
      <c r="HY18" s="681"/>
      <c r="HZ18" s="681"/>
      <c r="IA18" s="681"/>
      <c r="IB18" s="681"/>
      <c r="IC18" s="681"/>
      <c r="ID18" s="681"/>
      <c r="IE18" s="681"/>
      <c r="IF18" s="681"/>
      <c r="IG18" s="681"/>
      <c r="IH18" s="681"/>
      <c r="II18" s="681"/>
      <c r="IJ18" s="681"/>
      <c r="IK18" s="681"/>
      <c r="IL18" s="681"/>
      <c r="IM18" s="681"/>
      <c r="IN18" s="681"/>
      <c r="IO18" s="681"/>
      <c r="IP18" s="681"/>
      <c r="IQ18" s="681"/>
      <c r="IR18" s="681"/>
      <c r="IS18" s="681"/>
      <c r="IT18" s="681"/>
      <c r="IU18" s="681"/>
      <c r="IV18" s="681"/>
    </row>
    <row r="19" s="669" customFormat="1" ht="16.5" spans="1:256">
      <c r="A19" s="682" t="s">
        <v>805</v>
      </c>
      <c r="B19" s="627">
        <f>B17-B18</f>
        <v>0</v>
      </c>
      <c r="C19" s="627">
        <f>C17-C18</f>
        <v>0</v>
      </c>
      <c r="D19" s="681"/>
      <c r="E19" s="681"/>
      <c r="F19" s="681"/>
      <c r="G19" s="681"/>
      <c r="H19" s="681"/>
      <c r="I19" s="681"/>
      <c r="J19" s="681"/>
      <c r="K19" s="681"/>
      <c r="L19" s="681"/>
      <c r="M19" s="681"/>
      <c r="N19" s="681"/>
      <c r="O19" s="681"/>
      <c r="P19" s="681"/>
      <c r="Q19" s="681"/>
      <c r="R19" s="681"/>
      <c r="S19" s="681"/>
      <c r="T19" s="681"/>
      <c r="U19" s="681"/>
      <c r="V19" s="681"/>
      <c r="W19" s="681"/>
      <c r="X19" s="681"/>
      <c r="Y19" s="681"/>
      <c r="Z19" s="681"/>
      <c r="AA19" s="681"/>
      <c r="AB19" s="681"/>
      <c r="AC19" s="681"/>
      <c r="AD19" s="681"/>
      <c r="AE19" s="681"/>
      <c r="AF19" s="681"/>
      <c r="AG19" s="681"/>
      <c r="AH19" s="681"/>
      <c r="AI19" s="681"/>
      <c r="AJ19" s="681"/>
      <c r="AK19" s="681"/>
      <c r="AL19" s="681"/>
      <c r="AM19" s="681"/>
      <c r="AN19" s="681"/>
      <c r="AO19" s="681"/>
      <c r="AP19" s="681"/>
      <c r="AQ19" s="681"/>
      <c r="AR19" s="681"/>
      <c r="AS19" s="681"/>
      <c r="AT19" s="681"/>
      <c r="AU19" s="681"/>
      <c r="AV19" s="681"/>
      <c r="AW19" s="681"/>
      <c r="AX19" s="681"/>
      <c r="AY19" s="681"/>
      <c r="AZ19" s="681"/>
      <c r="BA19" s="681"/>
      <c r="BB19" s="681"/>
      <c r="BC19" s="681"/>
      <c r="BD19" s="681"/>
      <c r="BE19" s="681"/>
      <c r="BF19" s="681"/>
      <c r="BG19" s="681"/>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c r="CH19" s="681"/>
      <c r="CI19" s="681"/>
      <c r="CJ19" s="681"/>
      <c r="CK19" s="681"/>
      <c r="CL19" s="681"/>
      <c r="CM19" s="681"/>
      <c r="CN19" s="681"/>
      <c r="CO19" s="681"/>
      <c r="CP19" s="681"/>
      <c r="CQ19" s="681"/>
      <c r="CR19" s="681"/>
      <c r="CS19" s="681"/>
      <c r="CT19" s="681"/>
      <c r="CU19" s="681"/>
      <c r="CV19" s="681"/>
      <c r="CW19" s="681"/>
      <c r="CX19" s="681"/>
      <c r="CY19" s="681"/>
      <c r="CZ19" s="681"/>
      <c r="DA19" s="681"/>
      <c r="DB19" s="681"/>
      <c r="DC19" s="681"/>
      <c r="DD19" s="681"/>
      <c r="DE19" s="681"/>
      <c r="DF19" s="681"/>
      <c r="DG19" s="681"/>
      <c r="DH19" s="681"/>
      <c r="DI19" s="681"/>
      <c r="DJ19" s="681"/>
      <c r="DK19" s="681"/>
      <c r="DL19" s="681"/>
      <c r="DM19" s="681"/>
      <c r="DN19" s="681"/>
      <c r="DO19" s="681"/>
      <c r="DP19" s="681"/>
      <c r="DQ19" s="681"/>
      <c r="DR19" s="681"/>
      <c r="DS19" s="681"/>
      <c r="DT19" s="681"/>
      <c r="DU19" s="681"/>
      <c r="DV19" s="681"/>
      <c r="DW19" s="681"/>
      <c r="DX19" s="681"/>
      <c r="DY19" s="681"/>
      <c r="DZ19" s="681"/>
      <c r="EA19" s="681"/>
      <c r="EB19" s="681"/>
      <c r="EC19" s="681"/>
      <c r="ED19" s="681"/>
      <c r="EE19" s="681"/>
      <c r="EF19" s="681"/>
      <c r="EG19" s="681"/>
      <c r="EH19" s="681"/>
      <c r="EI19" s="681"/>
      <c r="EJ19" s="681"/>
      <c r="EK19" s="681"/>
      <c r="EL19" s="681"/>
      <c r="EM19" s="681"/>
      <c r="EN19" s="681"/>
      <c r="EO19" s="681"/>
      <c r="EP19" s="681"/>
      <c r="EQ19" s="681"/>
      <c r="ER19" s="681"/>
      <c r="ES19" s="681"/>
      <c r="ET19" s="681"/>
      <c r="EU19" s="681"/>
      <c r="EV19" s="681"/>
      <c r="EW19" s="681"/>
      <c r="EX19" s="681"/>
      <c r="EY19" s="681"/>
      <c r="EZ19" s="681"/>
      <c r="FA19" s="681"/>
      <c r="FB19" s="681"/>
      <c r="FC19" s="681"/>
      <c r="FD19" s="681"/>
      <c r="FE19" s="681"/>
      <c r="FF19" s="681"/>
      <c r="FG19" s="681"/>
      <c r="FH19" s="681"/>
      <c r="FI19" s="681"/>
      <c r="FJ19" s="681"/>
      <c r="FK19" s="681"/>
      <c r="FL19" s="681"/>
      <c r="FM19" s="681"/>
      <c r="FN19" s="681"/>
      <c r="FO19" s="681"/>
      <c r="FP19" s="681"/>
      <c r="FQ19" s="681"/>
      <c r="FR19" s="681"/>
      <c r="FS19" s="681"/>
      <c r="FT19" s="681"/>
      <c r="FU19" s="681"/>
      <c r="FV19" s="681"/>
      <c r="FW19" s="681"/>
      <c r="FX19" s="681"/>
      <c r="FY19" s="681"/>
      <c r="FZ19" s="681"/>
      <c r="GA19" s="681"/>
      <c r="GB19" s="681"/>
      <c r="GC19" s="681"/>
      <c r="GD19" s="681"/>
      <c r="GE19" s="681"/>
      <c r="GF19" s="681"/>
      <c r="GG19" s="681"/>
      <c r="GH19" s="681"/>
      <c r="GI19" s="681"/>
      <c r="GJ19" s="681"/>
      <c r="GK19" s="681"/>
      <c r="GL19" s="681"/>
      <c r="GM19" s="681"/>
      <c r="GN19" s="681"/>
      <c r="GO19" s="681"/>
      <c r="GP19" s="681"/>
      <c r="GQ19" s="681"/>
      <c r="GR19" s="681"/>
      <c r="GS19" s="681"/>
      <c r="GT19" s="681"/>
      <c r="GU19" s="681"/>
      <c r="GV19" s="681"/>
      <c r="GW19" s="681"/>
      <c r="GX19" s="681"/>
      <c r="GY19" s="681"/>
      <c r="GZ19" s="681"/>
      <c r="HA19" s="681"/>
      <c r="HB19" s="681"/>
      <c r="HC19" s="681"/>
      <c r="HD19" s="681"/>
      <c r="HE19" s="681"/>
      <c r="HF19" s="681"/>
      <c r="HG19" s="681"/>
      <c r="HH19" s="681"/>
      <c r="HI19" s="681"/>
      <c r="HJ19" s="681"/>
      <c r="HK19" s="681"/>
      <c r="HL19" s="681"/>
      <c r="HM19" s="681"/>
      <c r="HN19" s="681"/>
      <c r="HO19" s="681"/>
      <c r="HP19" s="681"/>
      <c r="HQ19" s="681"/>
      <c r="HR19" s="681"/>
      <c r="HS19" s="681"/>
      <c r="HT19" s="681"/>
      <c r="HU19" s="681"/>
      <c r="HV19" s="681"/>
      <c r="HW19" s="681"/>
      <c r="HX19" s="681"/>
      <c r="HY19" s="681"/>
      <c r="HZ19" s="681"/>
      <c r="IA19" s="681"/>
      <c r="IB19" s="681"/>
      <c r="IC19" s="681"/>
      <c r="ID19" s="681"/>
      <c r="IE19" s="681"/>
      <c r="IF19" s="681"/>
      <c r="IG19" s="681"/>
      <c r="IH19" s="681"/>
      <c r="II19" s="681"/>
      <c r="IJ19" s="681"/>
      <c r="IK19" s="681"/>
      <c r="IL19" s="681"/>
      <c r="IM19" s="681"/>
      <c r="IN19" s="681"/>
      <c r="IO19" s="681"/>
      <c r="IP19" s="681"/>
      <c r="IQ19" s="681"/>
      <c r="IR19" s="681"/>
      <c r="IS19" s="681"/>
      <c r="IT19" s="681"/>
      <c r="IU19" s="681"/>
      <c r="IV19" s="681"/>
    </row>
    <row r="20" s="669" customFormat="1" ht="16.5" spans="1:256">
      <c r="A20" s="686" t="s">
        <v>806</v>
      </c>
      <c r="B20" s="627">
        <f>B16+B19</f>
        <v>53648</v>
      </c>
      <c r="C20" s="627">
        <f>C16+C19</f>
        <v>0</v>
      </c>
      <c r="D20" s="681"/>
      <c r="E20" s="681"/>
      <c r="F20" s="681"/>
      <c r="G20" s="681"/>
      <c r="H20" s="681"/>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1"/>
      <c r="AR20" s="681"/>
      <c r="AS20" s="681"/>
      <c r="AT20" s="681"/>
      <c r="AU20" s="681"/>
      <c r="AV20" s="681"/>
      <c r="AW20" s="681"/>
      <c r="AX20" s="681"/>
      <c r="AY20" s="681"/>
      <c r="AZ20" s="681"/>
      <c r="BA20" s="681"/>
      <c r="BB20" s="681"/>
      <c r="BC20" s="681"/>
      <c r="BD20" s="681"/>
      <c r="BE20" s="681"/>
      <c r="BF20" s="681"/>
      <c r="BG20" s="681"/>
      <c r="BH20" s="681"/>
      <c r="BI20" s="681"/>
      <c r="BJ20" s="681"/>
      <c r="BK20" s="681"/>
      <c r="BL20" s="681"/>
      <c r="BM20" s="681"/>
      <c r="BN20" s="681"/>
      <c r="BO20" s="681"/>
      <c r="BP20" s="681"/>
      <c r="BQ20" s="681"/>
      <c r="BR20" s="681"/>
      <c r="BS20" s="681"/>
      <c r="BT20" s="681"/>
      <c r="BU20" s="681"/>
      <c r="BV20" s="681"/>
      <c r="BW20" s="681"/>
      <c r="BX20" s="681"/>
      <c r="BY20" s="681"/>
      <c r="BZ20" s="681"/>
      <c r="CA20" s="681"/>
      <c r="CB20" s="681"/>
      <c r="CC20" s="681"/>
      <c r="CD20" s="681"/>
      <c r="CE20" s="681"/>
      <c r="CF20" s="681"/>
      <c r="CG20" s="681"/>
      <c r="CH20" s="681"/>
      <c r="CI20" s="681"/>
      <c r="CJ20" s="681"/>
      <c r="CK20" s="681"/>
      <c r="CL20" s="681"/>
      <c r="CM20" s="681"/>
      <c r="CN20" s="681"/>
      <c r="CO20" s="681"/>
      <c r="CP20" s="681"/>
      <c r="CQ20" s="681"/>
      <c r="CR20" s="681"/>
      <c r="CS20" s="681"/>
      <c r="CT20" s="681"/>
      <c r="CU20" s="681"/>
      <c r="CV20" s="681"/>
      <c r="CW20" s="681"/>
      <c r="CX20" s="681"/>
      <c r="CY20" s="681"/>
      <c r="CZ20" s="681"/>
      <c r="DA20" s="681"/>
      <c r="DB20" s="681"/>
      <c r="DC20" s="681"/>
      <c r="DD20" s="681"/>
      <c r="DE20" s="681"/>
      <c r="DF20" s="681"/>
      <c r="DG20" s="681"/>
      <c r="DH20" s="681"/>
      <c r="DI20" s="681"/>
      <c r="DJ20" s="681"/>
      <c r="DK20" s="681"/>
      <c r="DL20" s="681"/>
      <c r="DM20" s="681"/>
      <c r="DN20" s="681"/>
      <c r="DO20" s="681"/>
      <c r="DP20" s="681"/>
      <c r="DQ20" s="681"/>
      <c r="DR20" s="681"/>
      <c r="DS20" s="681"/>
      <c r="DT20" s="681"/>
      <c r="DU20" s="681"/>
      <c r="DV20" s="681"/>
      <c r="DW20" s="681"/>
      <c r="DX20" s="681"/>
      <c r="DY20" s="681"/>
      <c r="DZ20" s="681"/>
      <c r="EA20" s="681"/>
      <c r="EB20" s="681"/>
      <c r="EC20" s="681"/>
      <c r="ED20" s="681"/>
      <c r="EE20" s="681"/>
      <c r="EF20" s="681"/>
      <c r="EG20" s="681"/>
      <c r="EH20" s="681"/>
      <c r="EI20" s="681"/>
      <c r="EJ20" s="681"/>
      <c r="EK20" s="681"/>
      <c r="EL20" s="681"/>
      <c r="EM20" s="681"/>
      <c r="EN20" s="681"/>
      <c r="EO20" s="681"/>
      <c r="EP20" s="681"/>
      <c r="EQ20" s="681"/>
      <c r="ER20" s="681"/>
      <c r="ES20" s="681"/>
      <c r="ET20" s="681"/>
      <c r="EU20" s="681"/>
      <c r="EV20" s="681"/>
      <c r="EW20" s="681"/>
      <c r="EX20" s="681"/>
      <c r="EY20" s="681"/>
      <c r="EZ20" s="681"/>
      <c r="FA20" s="681"/>
      <c r="FB20" s="681"/>
      <c r="FC20" s="681"/>
      <c r="FD20" s="681"/>
      <c r="FE20" s="681"/>
      <c r="FF20" s="681"/>
      <c r="FG20" s="681"/>
      <c r="FH20" s="681"/>
      <c r="FI20" s="681"/>
      <c r="FJ20" s="681"/>
      <c r="FK20" s="681"/>
      <c r="FL20" s="681"/>
      <c r="FM20" s="681"/>
      <c r="FN20" s="681"/>
      <c r="FO20" s="681"/>
      <c r="FP20" s="681"/>
      <c r="FQ20" s="681"/>
      <c r="FR20" s="681"/>
      <c r="FS20" s="681"/>
      <c r="FT20" s="681"/>
      <c r="FU20" s="681"/>
      <c r="FV20" s="681"/>
      <c r="FW20" s="681"/>
      <c r="FX20" s="681"/>
      <c r="FY20" s="681"/>
      <c r="FZ20" s="681"/>
      <c r="GA20" s="681"/>
      <c r="GB20" s="681"/>
      <c r="GC20" s="681"/>
      <c r="GD20" s="681"/>
      <c r="GE20" s="681"/>
      <c r="GF20" s="681"/>
      <c r="GG20" s="681"/>
      <c r="GH20" s="681"/>
      <c r="GI20" s="681"/>
      <c r="GJ20" s="681"/>
      <c r="GK20" s="681"/>
      <c r="GL20" s="681"/>
      <c r="GM20" s="681"/>
      <c r="GN20" s="681"/>
      <c r="GO20" s="681"/>
      <c r="GP20" s="681"/>
      <c r="GQ20" s="681"/>
      <c r="GR20" s="681"/>
      <c r="GS20" s="681"/>
      <c r="GT20" s="681"/>
      <c r="GU20" s="681"/>
      <c r="GV20" s="681"/>
      <c r="GW20" s="681"/>
      <c r="GX20" s="681"/>
      <c r="GY20" s="681"/>
      <c r="GZ20" s="681"/>
      <c r="HA20" s="681"/>
      <c r="HB20" s="681"/>
      <c r="HC20" s="681"/>
      <c r="HD20" s="681"/>
      <c r="HE20" s="681"/>
      <c r="HF20" s="681"/>
      <c r="HG20" s="681"/>
      <c r="HH20" s="681"/>
      <c r="HI20" s="681"/>
      <c r="HJ20" s="681"/>
      <c r="HK20" s="681"/>
      <c r="HL20" s="681"/>
      <c r="HM20" s="681"/>
      <c r="HN20" s="681"/>
      <c r="HO20" s="681"/>
      <c r="HP20" s="681"/>
      <c r="HQ20" s="681"/>
      <c r="HR20" s="681"/>
      <c r="HS20" s="681"/>
      <c r="HT20" s="681"/>
      <c r="HU20" s="681"/>
      <c r="HV20" s="681"/>
      <c r="HW20" s="681"/>
      <c r="HX20" s="681"/>
      <c r="HY20" s="681"/>
      <c r="HZ20" s="681"/>
      <c r="IA20" s="681"/>
      <c r="IB20" s="681"/>
      <c r="IC20" s="681"/>
      <c r="ID20" s="681"/>
      <c r="IE20" s="681"/>
      <c r="IF20" s="681"/>
      <c r="IG20" s="681"/>
      <c r="IH20" s="681"/>
      <c r="II20" s="681"/>
      <c r="IJ20" s="681"/>
      <c r="IK20" s="681"/>
      <c r="IL20" s="681"/>
      <c r="IM20" s="681"/>
      <c r="IN20" s="681"/>
      <c r="IO20" s="681"/>
      <c r="IP20" s="681"/>
      <c r="IQ20" s="681"/>
      <c r="IR20" s="681"/>
      <c r="IS20" s="681"/>
      <c r="IT20" s="681"/>
      <c r="IU20" s="681"/>
      <c r="IV20" s="681"/>
    </row>
    <row r="21" s="670" customFormat="1" ht="16.5" spans="1:256">
      <c r="A21" s="687" t="s">
        <v>807</v>
      </c>
      <c r="B21" s="688" t="str">
        <f>IF(B12=B20,"本表正确","本表错误")</f>
        <v>本表错误</v>
      </c>
      <c r="C21" s="688" t="str">
        <f>IF(C12=C20,"本表正确","本表错误")</f>
        <v>本表错误</v>
      </c>
      <c r="D21" s="689"/>
      <c r="E21" s="689"/>
      <c r="F21" s="689"/>
      <c r="G21" s="689"/>
      <c r="H21" s="689"/>
      <c r="I21" s="689"/>
      <c r="J21" s="689"/>
      <c r="K21" s="689"/>
      <c r="L21" s="689"/>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c r="CB21" s="689"/>
      <c r="CC21" s="689"/>
      <c r="CD21" s="689"/>
      <c r="CE21" s="689"/>
      <c r="CF21" s="689"/>
      <c r="CG21" s="689"/>
      <c r="CH21" s="689"/>
      <c r="CI21" s="689"/>
      <c r="CJ21" s="689"/>
      <c r="CK21" s="689"/>
      <c r="CL21" s="689"/>
      <c r="CM21" s="689"/>
      <c r="CN21" s="689"/>
      <c r="CO21" s="689"/>
      <c r="CP21" s="689"/>
      <c r="CQ21" s="689"/>
      <c r="CR21" s="689"/>
      <c r="CS21" s="689"/>
      <c r="CT21" s="689"/>
      <c r="CU21" s="689"/>
      <c r="CV21" s="689"/>
      <c r="CW21" s="689"/>
      <c r="CX21" s="689"/>
      <c r="CY21" s="689"/>
      <c r="CZ21" s="689"/>
      <c r="DA21" s="689"/>
      <c r="DB21" s="689"/>
      <c r="DC21" s="689"/>
      <c r="DD21" s="689"/>
      <c r="DE21" s="689"/>
      <c r="DF21" s="689"/>
      <c r="DG21" s="689"/>
      <c r="DH21" s="689"/>
      <c r="DI21" s="689"/>
      <c r="DJ21" s="689"/>
      <c r="DK21" s="689"/>
      <c r="DL21" s="689"/>
      <c r="DM21" s="689"/>
      <c r="DN21" s="689"/>
      <c r="DO21" s="689"/>
      <c r="DP21" s="689"/>
      <c r="DQ21" s="689"/>
      <c r="DR21" s="689"/>
      <c r="DS21" s="689"/>
      <c r="DT21" s="689"/>
      <c r="DU21" s="689"/>
      <c r="DV21" s="689"/>
      <c r="DW21" s="689"/>
      <c r="DX21" s="689"/>
      <c r="DY21" s="689"/>
      <c r="DZ21" s="689"/>
      <c r="EA21" s="689"/>
      <c r="EB21" s="689"/>
      <c r="EC21" s="689"/>
      <c r="ED21" s="689"/>
      <c r="EE21" s="689"/>
      <c r="EF21" s="689"/>
      <c r="EG21" s="689"/>
      <c r="EH21" s="689"/>
      <c r="EI21" s="689"/>
      <c r="EJ21" s="689"/>
      <c r="EK21" s="689"/>
      <c r="EL21" s="689"/>
      <c r="EM21" s="689"/>
      <c r="EN21" s="689"/>
      <c r="EO21" s="689"/>
      <c r="EP21" s="689"/>
      <c r="EQ21" s="689"/>
      <c r="ER21" s="689"/>
      <c r="ES21" s="689"/>
      <c r="ET21" s="689"/>
      <c r="EU21" s="689"/>
      <c r="EV21" s="689"/>
      <c r="EW21" s="689"/>
      <c r="EX21" s="689"/>
      <c r="EY21" s="689"/>
      <c r="EZ21" s="689"/>
      <c r="FA21" s="689"/>
      <c r="FB21" s="689"/>
      <c r="FC21" s="689"/>
      <c r="FD21" s="689"/>
      <c r="FE21" s="689"/>
      <c r="FF21" s="689"/>
      <c r="FG21" s="689"/>
      <c r="FH21" s="689"/>
      <c r="FI21" s="689"/>
      <c r="FJ21" s="689"/>
      <c r="FK21" s="689"/>
      <c r="FL21" s="689"/>
      <c r="FM21" s="689"/>
      <c r="FN21" s="689"/>
      <c r="FO21" s="689"/>
      <c r="FP21" s="689"/>
      <c r="FQ21" s="689"/>
      <c r="FR21" s="689"/>
      <c r="FS21" s="689"/>
      <c r="FT21" s="689"/>
      <c r="FU21" s="689"/>
      <c r="FV21" s="689"/>
      <c r="FW21" s="689"/>
      <c r="FX21" s="689"/>
      <c r="FY21" s="689"/>
      <c r="FZ21" s="689"/>
      <c r="GA21" s="689"/>
      <c r="GB21" s="689"/>
      <c r="GC21" s="689"/>
      <c r="GD21" s="689"/>
      <c r="GE21" s="689"/>
      <c r="GF21" s="689"/>
      <c r="GG21" s="689"/>
      <c r="GH21" s="689"/>
      <c r="GI21" s="689"/>
      <c r="GJ21" s="689"/>
      <c r="GK21" s="689"/>
      <c r="GL21" s="689"/>
      <c r="GM21" s="689"/>
      <c r="GN21" s="689"/>
      <c r="GO21" s="689"/>
      <c r="GP21" s="689"/>
      <c r="GQ21" s="689"/>
      <c r="GR21" s="689"/>
      <c r="GS21" s="689"/>
      <c r="GT21" s="689"/>
      <c r="GU21" s="689"/>
      <c r="GV21" s="689"/>
      <c r="GW21" s="689"/>
      <c r="GX21" s="689"/>
      <c r="GY21" s="689"/>
      <c r="GZ21" s="689"/>
      <c r="HA21" s="689"/>
      <c r="HB21" s="689"/>
      <c r="HC21" s="689"/>
      <c r="HD21" s="689"/>
      <c r="HE21" s="689"/>
      <c r="HF21" s="689"/>
      <c r="HG21" s="689"/>
      <c r="HH21" s="689"/>
      <c r="HI21" s="689"/>
      <c r="HJ21" s="689"/>
      <c r="HK21" s="689"/>
      <c r="HL21" s="689"/>
      <c r="HM21" s="689"/>
      <c r="HN21" s="689"/>
      <c r="HO21" s="689"/>
      <c r="HP21" s="689"/>
      <c r="HQ21" s="689"/>
      <c r="HR21" s="689"/>
      <c r="HS21" s="689"/>
      <c r="HT21" s="689"/>
      <c r="HU21" s="689"/>
      <c r="HV21" s="689"/>
      <c r="HW21" s="689"/>
      <c r="HX21" s="689"/>
      <c r="HY21" s="689"/>
      <c r="HZ21" s="689"/>
      <c r="IA21" s="689"/>
      <c r="IB21" s="689"/>
      <c r="IC21" s="689"/>
      <c r="ID21" s="689"/>
      <c r="IE21" s="689"/>
      <c r="IF21" s="689"/>
      <c r="IG21" s="689"/>
      <c r="IH21" s="689"/>
      <c r="II21" s="689"/>
      <c r="IJ21" s="689"/>
      <c r="IK21" s="689"/>
      <c r="IL21" s="689"/>
      <c r="IM21" s="689"/>
      <c r="IN21" s="689"/>
      <c r="IO21" s="689"/>
      <c r="IP21" s="689"/>
      <c r="IQ21" s="689"/>
      <c r="IR21" s="689"/>
      <c r="IS21" s="689"/>
      <c r="IT21" s="689"/>
      <c r="IU21" s="689"/>
      <c r="IV21" s="689"/>
    </row>
    <row r="22" ht="27.95" customHeight="1"/>
    <row r="23" ht="27.95" customHeight="1"/>
    <row r="24" ht="27.95" customHeight="1"/>
    <row r="25" ht="27.95" customHeight="1"/>
    <row r="26" ht="27.95" customHeight="1"/>
    <row r="27" ht="27.95" customHeight="1"/>
    <row r="28" ht="27.95" customHeight="1"/>
  </sheetData>
  <mergeCells count="1">
    <mergeCell ref="A1:C1"/>
  </mergeCells>
  <printOptions horizontalCentered="1"/>
  <pageMargins left="0.55" right="0.55" top="0.979166666666667" bottom="0.979166666666667" header="0.509027777777778" footer="0.509027777777778"/>
  <pageSetup paperSize="256" orientation="portrait"/>
  <headerFooter alignWithMargins="0" scaleWithDoc="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E12"/>
  <sheetViews>
    <sheetView zoomScale="90" zoomScaleNormal="90" workbookViewId="0">
      <selection activeCell="D8" sqref="D8"/>
    </sheetView>
  </sheetViews>
  <sheetFormatPr defaultColWidth="8" defaultRowHeight="12.75" outlineLevelCol="4"/>
  <cols>
    <col min="1" max="1" width="20.75" style="653" customWidth="1"/>
    <col min="2" max="2" width="26.125" style="653" customWidth="1"/>
    <col min="3" max="3" width="12.125" style="653" customWidth="1"/>
    <col min="4" max="4" width="12.75" style="653" customWidth="1"/>
    <col min="5" max="5" width="11.75" style="653" customWidth="1"/>
    <col min="6" max="16384" width="8" style="653"/>
  </cols>
  <sheetData>
    <row r="1" ht="29.25" spans="1:5">
      <c r="A1" s="654" t="s">
        <v>808</v>
      </c>
      <c r="B1" s="654"/>
      <c r="C1" s="654"/>
      <c r="D1" s="654"/>
      <c r="E1" s="654"/>
    </row>
    <row r="2" ht="23.1" customHeight="1" spans="1:5">
      <c r="A2" s="655"/>
      <c r="B2" s="656" t="s">
        <v>408</v>
      </c>
      <c r="C2" s="657"/>
      <c r="D2" s="658"/>
      <c r="E2" s="659" t="s">
        <v>198</v>
      </c>
    </row>
    <row r="3" ht="24.95" customHeight="1" spans="1:5">
      <c r="A3" s="660" t="s">
        <v>409</v>
      </c>
      <c r="B3" s="660" t="s">
        <v>436</v>
      </c>
      <c r="C3" s="661" t="s">
        <v>437</v>
      </c>
      <c r="D3" s="662" t="s">
        <v>438</v>
      </c>
      <c r="E3" s="663" t="s">
        <v>439</v>
      </c>
    </row>
    <row r="4" ht="24.95" customHeight="1" spans="1:5">
      <c r="A4" s="664" t="s">
        <v>809</v>
      </c>
      <c r="B4" s="664" t="s">
        <v>810</v>
      </c>
      <c r="C4" s="665">
        <f>管理用利润表!B20/管理用利润表!B5</f>
        <v>0.529643333333333</v>
      </c>
      <c r="D4" s="665">
        <f>管理用利润表!C20/管理用利润表!C5</f>
        <v>0.35675</v>
      </c>
      <c r="E4" s="666">
        <f t="shared" ref="E4:E11" si="0">C4-D4</f>
        <v>0.172893333333333</v>
      </c>
    </row>
    <row r="5" ht="24.95" customHeight="1" spans="1:5">
      <c r="A5" s="664" t="s">
        <v>811</v>
      </c>
      <c r="B5" s="664" t="s">
        <v>812</v>
      </c>
      <c r="C5" s="665">
        <f>管理用利润表!B5/管理用资负表!B50</f>
        <v>0.542560233228559</v>
      </c>
      <c r="D5" s="665">
        <f>管理用利润表!C5/管理用资负表!C50</f>
        <v>1.20880615282332</v>
      </c>
      <c r="E5" s="666">
        <f t="shared" si="0"/>
        <v>-0.666245919594759</v>
      </c>
    </row>
    <row r="6" ht="24.95" customHeight="1" spans="1:5">
      <c r="A6" s="664" t="s">
        <v>813</v>
      </c>
      <c r="B6" s="664" t="s">
        <v>814</v>
      </c>
      <c r="C6" s="665">
        <f>C4*C5</f>
        <v>0.287363410461285</v>
      </c>
      <c r="D6" s="665">
        <f>D4*D5</f>
        <v>0.431241595019719</v>
      </c>
      <c r="E6" s="666">
        <f t="shared" si="0"/>
        <v>-0.143878184558434</v>
      </c>
    </row>
    <row r="7" ht="24.95" customHeight="1" spans="1:5">
      <c r="A7" s="664" t="s">
        <v>815</v>
      </c>
      <c r="B7" s="664" t="s">
        <v>816</v>
      </c>
      <c r="C7" s="665">
        <f>管理用利润表!B24/管理用资负表!E26</f>
        <v>0</v>
      </c>
      <c r="D7" s="665">
        <f>管理用利润表!C24/管理用资负表!F26</f>
        <v>0</v>
      </c>
      <c r="E7" s="666">
        <f t="shared" si="0"/>
        <v>0</v>
      </c>
    </row>
    <row r="8" ht="24.95" customHeight="1" spans="1:5">
      <c r="A8" s="664" t="s">
        <v>817</v>
      </c>
      <c r="B8" s="664" t="s">
        <v>818</v>
      </c>
      <c r="C8" s="665">
        <f>C6-C7</f>
        <v>0.287363410461285</v>
      </c>
      <c r="D8" s="665">
        <f>D6-D7</f>
        <v>0.431241595019719</v>
      </c>
      <c r="E8" s="666">
        <f t="shared" si="0"/>
        <v>-0.143878184558434</v>
      </c>
    </row>
    <row r="9" ht="24.95" customHeight="1" spans="1:5">
      <c r="A9" s="664" t="s">
        <v>819</v>
      </c>
      <c r="B9" s="664" t="s">
        <v>820</v>
      </c>
      <c r="C9" s="665">
        <f>管理用资负表!E26/管理用资负表!E49</f>
        <v>-0.213576213576214</v>
      </c>
      <c r="D9" s="665">
        <f>管理用资负表!F26/管理用资负表!F49</f>
        <v>-0.0526320526320526</v>
      </c>
      <c r="E9" s="666">
        <f t="shared" si="0"/>
        <v>-0.160944160944161</v>
      </c>
    </row>
    <row r="10" ht="24.95" customHeight="1" spans="1:5">
      <c r="A10" s="664" t="s">
        <v>821</v>
      </c>
      <c r="B10" s="664" t="s">
        <v>822</v>
      </c>
      <c r="C10" s="665">
        <f>C8*C9</f>
        <v>-0.0613739891266685</v>
      </c>
      <c r="D10" s="665">
        <f>D8*D9</f>
        <v>-0.0226971303262082</v>
      </c>
      <c r="E10" s="666">
        <f t="shared" si="0"/>
        <v>-0.0386768588004603</v>
      </c>
    </row>
    <row r="11" ht="24.95" customHeight="1" spans="1:5">
      <c r="A11" s="664" t="s">
        <v>823</v>
      </c>
      <c r="B11" s="664" t="s">
        <v>824</v>
      </c>
      <c r="C11" s="665">
        <f>C6+C10</f>
        <v>0.225989421334616</v>
      </c>
      <c r="D11" s="665">
        <f>D6+D10</f>
        <v>0.40854446469351</v>
      </c>
      <c r="E11" s="666">
        <f t="shared" si="0"/>
        <v>-0.182555043358894</v>
      </c>
    </row>
    <row r="12" ht="24.95" customHeight="1"/>
  </sheetData>
  <mergeCells count="1">
    <mergeCell ref="A1:E1"/>
  </mergeCells>
  <pageMargins left="0.75" right="0.75" top="1" bottom="1" header="0.509027777777778" footer="0.509027777777778"/>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50"/>
  <sheetViews>
    <sheetView zoomScale="90" zoomScaleNormal="90" workbookViewId="0">
      <selection activeCell="C11" sqref="$A1:$XFD65536"/>
    </sheetView>
  </sheetViews>
  <sheetFormatPr defaultColWidth="8" defaultRowHeight="16.5" outlineLevelCol="5"/>
  <cols>
    <col min="1" max="1" width="21.875" style="633" customWidth="1"/>
    <col min="2" max="3" width="12.625" style="633" customWidth="1"/>
    <col min="4" max="4" width="22" style="633" customWidth="1"/>
    <col min="5" max="6" width="12.625" style="633" customWidth="1"/>
    <col min="7" max="16384" width="8" style="633"/>
  </cols>
  <sheetData>
    <row r="1" ht="32.1" customHeight="1" spans="1:6">
      <c r="A1" s="634" t="s">
        <v>825</v>
      </c>
      <c r="B1" s="634"/>
      <c r="C1" s="634"/>
      <c r="D1" s="634"/>
      <c r="E1" s="634"/>
      <c r="F1" s="634"/>
    </row>
    <row r="2" s="631" customFormat="1" spans="3:6">
      <c r="C2" s="635" t="s">
        <v>826</v>
      </c>
      <c r="D2" s="635"/>
      <c r="F2" s="636" t="s">
        <v>198</v>
      </c>
    </row>
    <row r="3" s="632" customFormat="1" ht="15.6" customHeight="1" spans="1:6">
      <c r="A3" s="637" t="s">
        <v>725</v>
      </c>
      <c r="B3" s="637" t="s">
        <v>827</v>
      </c>
      <c r="C3" s="637" t="s">
        <v>828</v>
      </c>
      <c r="D3" s="637" t="s">
        <v>728</v>
      </c>
      <c r="E3" s="637" t="s">
        <v>827</v>
      </c>
      <c r="F3" s="637" t="s">
        <v>828</v>
      </c>
    </row>
    <row r="4" ht="15.6" customHeight="1" spans="1:6">
      <c r="A4" s="638" t="s">
        <v>729</v>
      </c>
      <c r="B4" s="639"/>
      <c r="C4" s="639"/>
      <c r="D4" s="638" t="s">
        <v>730</v>
      </c>
      <c r="E4" s="639"/>
      <c r="F4" s="639"/>
    </row>
    <row r="5" ht="15.6" customHeight="1" spans="1:6">
      <c r="A5" s="638" t="s">
        <v>731</v>
      </c>
      <c r="B5" s="639"/>
      <c r="C5" s="639"/>
      <c r="D5" s="640" t="s">
        <v>100</v>
      </c>
      <c r="E5" s="641">
        <f>管理用资负表!E6</f>
        <v>0</v>
      </c>
      <c r="F5" s="641">
        <f t="shared" ref="F5:F14" si="0">E5</f>
        <v>0</v>
      </c>
    </row>
    <row r="6" ht="15.6" customHeight="1" spans="1:6">
      <c r="A6" s="640" t="s">
        <v>732</v>
      </c>
      <c r="B6" s="641">
        <f>管理用资负表!B7</f>
        <v>1441</v>
      </c>
      <c r="C6" s="641">
        <f t="shared" ref="C6:C14" si="1">B6*$E$31</f>
        <v>0</v>
      </c>
      <c r="D6" s="640" t="s">
        <v>102</v>
      </c>
      <c r="E6" s="641">
        <f>管理用资负表!E7</f>
        <v>0</v>
      </c>
      <c r="F6" s="641">
        <f t="shared" si="0"/>
        <v>0</v>
      </c>
    </row>
    <row r="7" ht="15.6" customHeight="1" spans="1:6">
      <c r="A7" s="640" t="s">
        <v>733</v>
      </c>
      <c r="B7" s="641">
        <f>管理用资负表!B8</f>
        <v>522445</v>
      </c>
      <c r="C7" s="641">
        <f t="shared" si="1"/>
        <v>0</v>
      </c>
      <c r="D7" s="642" t="s">
        <v>734</v>
      </c>
      <c r="E7" s="641">
        <f>管理用资负表!E8</f>
        <v>6666</v>
      </c>
      <c r="F7" s="641">
        <f t="shared" si="0"/>
        <v>6666</v>
      </c>
    </row>
    <row r="8" ht="15.6" customHeight="1" spans="1:6">
      <c r="A8" s="640" t="s">
        <v>105</v>
      </c>
      <c r="B8" s="641">
        <f>管理用资负表!B9</f>
        <v>521</v>
      </c>
      <c r="C8" s="641">
        <f t="shared" si="1"/>
        <v>0</v>
      </c>
      <c r="D8" s="640" t="s">
        <v>114</v>
      </c>
      <c r="E8" s="641">
        <f>管理用资负表!E9</f>
        <v>0</v>
      </c>
      <c r="F8" s="641">
        <f t="shared" si="0"/>
        <v>0</v>
      </c>
    </row>
    <row r="9" ht="15.6" customHeight="1" spans="1:6">
      <c r="A9" s="640" t="s">
        <v>107</v>
      </c>
      <c r="B9" s="641">
        <f>管理用资负表!B10</f>
        <v>0</v>
      </c>
      <c r="C9" s="641">
        <f t="shared" si="1"/>
        <v>0</v>
      </c>
      <c r="D9" s="642" t="s">
        <v>735</v>
      </c>
      <c r="E9" s="641">
        <f>管理用资负表!E10</f>
        <v>0</v>
      </c>
      <c r="F9" s="641">
        <f t="shared" si="0"/>
        <v>0</v>
      </c>
    </row>
    <row r="10" ht="15.6" customHeight="1" spans="1:6">
      <c r="A10" s="640" t="s">
        <v>736</v>
      </c>
      <c r="B10" s="641">
        <f>管理用资负表!B11</f>
        <v>666</v>
      </c>
      <c r="C10" s="641">
        <f t="shared" si="1"/>
        <v>0</v>
      </c>
      <c r="D10" s="642" t="s">
        <v>737</v>
      </c>
      <c r="E10" s="641">
        <f>管理用资负表!E11</f>
        <v>0</v>
      </c>
      <c r="F10" s="641">
        <f t="shared" si="0"/>
        <v>0</v>
      </c>
    </row>
    <row r="11" ht="15.6" customHeight="1" spans="1:6">
      <c r="A11" s="640" t="s">
        <v>113</v>
      </c>
      <c r="B11" s="641">
        <f>管理用资负表!B12</f>
        <v>6353</v>
      </c>
      <c r="C11" s="641">
        <f t="shared" si="1"/>
        <v>0</v>
      </c>
      <c r="D11" s="640" t="s">
        <v>120</v>
      </c>
      <c r="E11" s="641">
        <f>管理用资负表!E12</f>
        <v>0</v>
      </c>
      <c r="F11" s="641">
        <f t="shared" si="0"/>
        <v>0</v>
      </c>
    </row>
    <row r="12" ht="15.6" customHeight="1" spans="1:6">
      <c r="A12" s="640" t="s">
        <v>115</v>
      </c>
      <c r="B12" s="641">
        <f>管理用资负表!B13</f>
        <v>0</v>
      </c>
      <c r="C12" s="641">
        <f t="shared" si="1"/>
        <v>0</v>
      </c>
      <c r="D12" s="640" t="s">
        <v>128</v>
      </c>
      <c r="E12" s="641">
        <f>管理用资负表!E13</f>
        <v>0</v>
      </c>
      <c r="F12" s="641">
        <f t="shared" si="0"/>
        <v>0</v>
      </c>
    </row>
    <row r="13" ht="15.6" customHeight="1" spans="1:6">
      <c r="A13" s="640" t="s">
        <v>117</v>
      </c>
      <c r="B13" s="641">
        <f>管理用资负表!B14</f>
        <v>333</v>
      </c>
      <c r="C13" s="641">
        <f t="shared" si="1"/>
        <v>0</v>
      </c>
      <c r="D13" s="640" t="s">
        <v>130</v>
      </c>
      <c r="E13" s="641">
        <f>管理用资负表!E14</f>
        <v>0</v>
      </c>
      <c r="F13" s="641">
        <f t="shared" si="0"/>
        <v>0</v>
      </c>
    </row>
    <row r="14" ht="15.6" customHeight="1" spans="1:6">
      <c r="A14" s="640" t="s">
        <v>119</v>
      </c>
      <c r="B14" s="641">
        <f>管理用资负表!B15</f>
        <v>536318</v>
      </c>
      <c r="C14" s="641">
        <f t="shared" si="1"/>
        <v>0</v>
      </c>
      <c r="D14" s="642" t="s">
        <v>738</v>
      </c>
      <c r="E14" s="641">
        <f>管理用资负表!E15</f>
        <v>12221</v>
      </c>
      <c r="F14" s="641">
        <f t="shared" si="0"/>
        <v>12221</v>
      </c>
    </row>
    <row r="15" ht="15.6" customHeight="1" spans="1:6">
      <c r="A15" s="643" t="s">
        <v>739</v>
      </c>
      <c r="B15" s="641">
        <f>SUM(B6:B14)</f>
        <v>1068077</v>
      </c>
      <c r="C15" s="641">
        <f>SUM(C6:C14)</f>
        <v>0</v>
      </c>
      <c r="D15" s="643" t="s">
        <v>740</v>
      </c>
      <c r="E15" s="641">
        <f>SUM(E5:E14)</f>
        <v>18887</v>
      </c>
      <c r="F15" s="641">
        <f>SUM(F5:F14)</f>
        <v>18887</v>
      </c>
    </row>
    <row r="16" ht="15.6" customHeight="1" spans="1:6">
      <c r="A16" s="638" t="s">
        <v>741</v>
      </c>
      <c r="B16" s="644"/>
      <c r="C16" s="644"/>
      <c r="D16" s="638" t="s">
        <v>742</v>
      </c>
      <c r="E16" s="645"/>
      <c r="F16" s="645"/>
    </row>
    <row r="17" ht="15.6" customHeight="1" spans="1:6">
      <c r="A17" s="640" t="s">
        <v>743</v>
      </c>
      <c r="B17" s="641">
        <f>管理用资负表!B18</f>
        <v>13313</v>
      </c>
      <c r="C17" s="641">
        <f t="shared" ref="C17:C24" si="2">B17*$E$31</f>
        <v>0</v>
      </c>
      <c r="D17" s="640" t="s">
        <v>744</v>
      </c>
      <c r="E17" s="641">
        <f>管理用资负表!E18</f>
        <v>13414</v>
      </c>
      <c r="F17" s="641">
        <f t="shared" ref="F17:F23" si="3">E17</f>
        <v>13414</v>
      </c>
    </row>
    <row r="18" ht="15.6" customHeight="1" spans="1:6">
      <c r="A18" s="640" t="s">
        <v>106</v>
      </c>
      <c r="B18" s="641">
        <f>管理用资负表!B19</f>
        <v>1333</v>
      </c>
      <c r="C18" s="641">
        <f t="shared" si="2"/>
        <v>0</v>
      </c>
      <c r="D18" s="640" t="s">
        <v>101</v>
      </c>
      <c r="E18" s="641">
        <f>管理用资负表!E19</f>
        <v>0</v>
      </c>
      <c r="F18" s="641">
        <f t="shared" si="3"/>
        <v>0</v>
      </c>
    </row>
    <row r="19" ht="15.6" customHeight="1" spans="1:6">
      <c r="A19" s="640" t="s">
        <v>108</v>
      </c>
      <c r="B19" s="641">
        <f>管理用资负表!B20</f>
        <v>13311</v>
      </c>
      <c r="C19" s="641">
        <f t="shared" si="2"/>
        <v>0</v>
      </c>
      <c r="D19" s="642" t="s">
        <v>745</v>
      </c>
      <c r="E19" s="641">
        <f>管理用资负表!E20</f>
        <v>0</v>
      </c>
      <c r="F19" s="641">
        <f t="shared" si="3"/>
        <v>0</v>
      </c>
    </row>
    <row r="20" ht="15.6" customHeight="1" spans="1:6">
      <c r="A20" s="640" t="s">
        <v>110</v>
      </c>
      <c r="B20" s="641">
        <f>管理用资负表!B21</f>
        <v>1333</v>
      </c>
      <c r="C20" s="641">
        <f t="shared" si="2"/>
        <v>0</v>
      </c>
      <c r="D20" s="642" t="s">
        <v>746</v>
      </c>
      <c r="E20" s="641">
        <f>管理用资负表!E21</f>
        <v>66666</v>
      </c>
      <c r="F20" s="641">
        <f t="shared" si="3"/>
        <v>66666</v>
      </c>
    </row>
    <row r="21" ht="15.6" customHeight="1" spans="1:6">
      <c r="A21" s="640" t="s">
        <v>112</v>
      </c>
      <c r="B21" s="641">
        <f>管理用资负表!B22</f>
        <v>1313</v>
      </c>
      <c r="C21" s="641">
        <f t="shared" si="2"/>
        <v>0</v>
      </c>
      <c r="D21" s="640" t="s">
        <v>109</v>
      </c>
      <c r="E21" s="641">
        <f>管理用资负表!E22</f>
        <v>3333</v>
      </c>
      <c r="F21" s="641">
        <f t="shared" si="3"/>
        <v>3333</v>
      </c>
    </row>
    <row r="22" ht="15.6" customHeight="1" spans="1:6">
      <c r="A22" s="640" t="s">
        <v>747</v>
      </c>
      <c r="B22" s="641">
        <f>管理用资负表!B23</f>
        <v>1313</v>
      </c>
      <c r="C22" s="641">
        <f t="shared" si="2"/>
        <v>0</v>
      </c>
      <c r="D22" s="640" t="s">
        <v>125</v>
      </c>
      <c r="E22" s="641">
        <f>管理用资负表!E23</f>
        <v>0</v>
      </c>
      <c r="F22" s="641">
        <f t="shared" si="3"/>
        <v>0</v>
      </c>
    </row>
    <row r="23" ht="15.6" customHeight="1" spans="1:6">
      <c r="A23" s="640" t="s">
        <v>118</v>
      </c>
      <c r="B23" s="641">
        <f>管理用资负表!B24</f>
        <v>0</v>
      </c>
      <c r="C23" s="641">
        <f t="shared" si="2"/>
        <v>0</v>
      </c>
      <c r="D23" s="640" t="s">
        <v>127</v>
      </c>
      <c r="E23" s="641">
        <f>管理用资负表!E24</f>
        <v>0</v>
      </c>
      <c r="F23" s="641">
        <f t="shared" si="3"/>
        <v>0</v>
      </c>
    </row>
    <row r="24" ht="15.6" customHeight="1" spans="1:6">
      <c r="A24" s="640" t="s">
        <v>122</v>
      </c>
      <c r="B24" s="641">
        <f>管理用资负表!B25</f>
        <v>98582</v>
      </c>
      <c r="C24" s="641">
        <f t="shared" si="2"/>
        <v>0</v>
      </c>
      <c r="D24" s="646"/>
      <c r="E24" s="647"/>
      <c r="F24" s="647"/>
    </row>
    <row r="25" ht="15.6" customHeight="1" spans="1:6">
      <c r="A25" s="643" t="s">
        <v>748</v>
      </c>
      <c r="B25" s="641">
        <f t="shared" ref="B25:F25" si="4">SUM(B17:B24)</f>
        <v>130498</v>
      </c>
      <c r="C25" s="641">
        <f t="shared" si="4"/>
        <v>0</v>
      </c>
      <c r="D25" s="643" t="s">
        <v>749</v>
      </c>
      <c r="E25" s="641">
        <f t="shared" si="4"/>
        <v>83413</v>
      </c>
      <c r="F25" s="641">
        <f t="shared" si="4"/>
        <v>83413</v>
      </c>
    </row>
    <row r="26" ht="15.6" customHeight="1" spans="1:6">
      <c r="A26" s="643" t="s">
        <v>750</v>
      </c>
      <c r="B26" s="641">
        <f t="shared" ref="B26:F26" si="5">B15-B25</f>
        <v>937579</v>
      </c>
      <c r="C26" s="641">
        <f t="shared" si="5"/>
        <v>0</v>
      </c>
      <c r="D26" s="643" t="s">
        <v>647</v>
      </c>
      <c r="E26" s="641">
        <f t="shared" si="5"/>
        <v>-64526</v>
      </c>
      <c r="F26" s="641">
        <f t="shared" si="5"/>
        <v>-64526</v>
      </c>
    </row>
    <row r="27" ht="15.6" customHeight="1" spans="1:6">
      <c r="A27" s="638" t="s">
        <v>751</v>
      </c>
      <c r="B27" s="644"/>
      <c r="C27" s="644"/>
      <c r="D27" s="648"/>
      <c r="E27" s="649"/>
      <c r="F27" s="649"/>
    </row>
    <row r="28" ht="15.6" customHeight="1" spans="1:6">
      <c r="A28" s="640" t="s">
        <v>131</v>
      </c>
      <c r="B28" s="641">
        <f>管理用资负表!B29</f>
        <v>553</v>
      </c>
      <c r="C28" s="641">
        <f t="shared" ref="C28:C40" si="6">B28*$E$31</f>
        <v>0</v>
      </c>
      <c r="D28" s="648"/>
      <c r="E28" s="649"/>
      <c r="F28" s="649"/>
    </row>
    <row r="29" ht="15.6" customHeight="1" spans="1:6">
      <c r="A29" s="640" t="s">
        <v>129</v>
      </c>
      <c r="B29" s="641">
        <f>管理用资负表!B30</f>
        <v>3535</v>
      </c>
      <c r="C29" s="641">
        <f t="shared" si="6"/>
        <v>0</v>
      </c>
      <c r="D29" s="650" t="s">
        <v>829</v>
      </c>
      <c r="E29" s="641">
        <f>利润表!B6</f>
        <v>55552</v>
      </c>
      <c r="F29" s="641"/>
    </row>
    <row r="30" ht="15.6" customHeight="1" spans="1:6">
      <c r="A30" s="640" t="s">
        <v>133</v>
      </c>
      <c r="B30" s="641">
        <f>管理用资负表!B31</f>
        <v>88888</v>
      </c>
      <c r="C30" s="641">
        <f t="shared" si="6"/>
        <v>0</v>
      </c>
      <c r="D30" s="650" t="s">
        <v>830</v>
      </c>
      <c r="E30" s="649"/>
      <c r="F30" s="649"/>
    </row>
    <row r="31" ht="15.6" customHeight="1" spans="1:6">
      <c r="A31" s="640" t="s">
        <v>135</v>
      </c>
      <c r="B31" s="641">
        <f>管理用资负表!B32</f>
        <v>22222</v>
      </c>
      <c r="C31" s="641">
        <f t="shared" si="6"/>
        <v>0</v>
      </c>
      <c r="D31" s="650" t="s">
        <v>831</v>
      </c>
      <c r="E31" s="641">
        <f>E30/E29</f>
        <v>0</v>
      </c>
      <c r="F31" s="641"/>
    </row>
    <row r="32" ht="15.6" customHeight="1" spans="1:6">
      <c r="A32" s="640" t="s">
        <v>137</v>
      </c>
      <c r="B32" s="641">
        <f>管理用资负表!B33</f>
        <v>0</v>
      </c>
      <c r="C32" s="641">
        <f t="shared" si="6"/>
        <v>0</v>
      </c>
      <c r="D32" s="650" t="s">
        <v>832</v>
      </c>
      <c r="E32" s="641">
        <f>C50-B50</f>
        <v>-1167975</v>
      </c>
      <c r="F32" s="641"/>
    </row>
    <row r="33" ht="15.6" customHeight="1" spans="1:6">
      <c r="A33" s="640" t="s">
        <v>139</v>
      </c>
      <c r="B33" s="641">
        <f>管理用资负表!B34</f>
        <v>0</v>
      </c>
      <c r="C33" s="641">
        <f t="shared" si="6"/>
        <v>0</v>
      </c>
      <c r="D33" s="650" t="s">
        <v>833</v>
      </c>
      <c r="E33" s="641">
        <f>E17+E18</f>
        <v>13414</v>
      </c>
      <c r="F33" s="641"/>
    </row>
    <row r="34" ht="15.6" customHeight="1" spans="1:6">
      <c r="A34" s="640" t="s">
        <v>141</v>
      </c>
      <c r="B34" s="641">
        <f>管理用资负表!B35</f>
        <v>0</v>
      </c>
      <c r="C34" s="641">
        <f t="shared" si="6"/>
        <v>0</v>
      </c>
      <c r="D34" s="650" t="s">
        <v>607</v>
      </c>
      <c r="E34" s="651"/>
      <c r="F34" s="652"/>
    </row>
    <row r="35" ht="15.6" customHeight="1" spans="1:6">
      <c r="A35" s="640" t="s">
        <v>147</v>
      </c>
      <c r="B35" s="641">
        <f>管理用资负表!B36</f>
        <v>0</v>
      </c>
      <c r="C35" s="641">
        <f t="shared" si="6"/>
        <v>0</v>
      </c>
      <c r="D35" s="650" t="s">
        <v>834</v>
      </c>
      <c r="E35" s="651"/>
      <c r="F35" s="652"/>
    </row>
    <row r="36" ht="15.6" customHeight="1" spans="1:6">
      <c r="A36" s="640" t="s">
        <v>149</v>
      </c>
      <c r="B36" s="641">
        <f>管理用资负表!B37</f>
        <v>0</v>
      </c>
      <c r="C36" s="641">
        <f t="shared" si="6"/>
        <v>0</v>
      </c>
      <c r="D36" s="650" t="s">
        <v>835</v>
      </c>
      <c r="E36" s="641">
        <f>E30*E35*(1-E34)</f>
        <v>0</v>
      </c>
      <c r="F36" s="641"/>
    </row>
    <row r="37" ht="15.6" customHeight="1" spans="1:6">
      <c r="A37" s="640" t="s">
        <v>151</v>
      </c>
      <c r="B37" s="641">
        <f>管理用资负表!B38</f>
        <v>0</v>
      </c>
      <c r="C37" s="641">
        <f t="shared" si="6"/>
        <v>0</v>
      </c>
      <c r="D37" s="650" t="s">
        <v>836</v>
      </c>
      <c r="E37" s="641">
        <f>E32-E33-E36</f>
        <v>-1181389</v>
      </c>
      <c r="F37" s="641"/>
    </row>
    <row r="38" ht="15.6" customHeight="1" spans="1:6">
      <c r="A38" s="640" t="s">
        <v>153</v>
      </c>
      <c r="B38" s="641">
        <f>管理用资负表!B39</f>
        <v>0</v>
      </c>
      <c r="C38" s="641">
        <f t="shared" si="6"/>
        <v>0</v>
      </c>
      <c r="D38" s="650" t="s">
        <v>837</v>
      </c>
      <c r="E38" s="641" t="e">
        <f>(C15+C41)/E30-(C25+C48)/E30-(E30/E29/(E30-E29)/E29)*预测利润表!C26*(1-E34)/预测利润表!C6-(F17+F18)/(E30-E29)</f>
        <v>#DIV/0!</v>
      </c>
      <c r="F38" s="641"/>
    </row>
    <row r="39" ht="15.6" customHeight="1" spans="1:6">
      <c r="A39" s="640" t="s">
        <v>155</v>
      </c>
      <c r="B39" s="641">
        <f>管理用资负表!B40</f>
        <v>0</v>
      </c>
      <c r="C39" s="641">
        <f t="shared" si="6"/>
        <v>0</v>
      </c>
      <c r="D39" s="650" t="s">
        <v>608</v>
      </c>
      <c r="E39" s="641" t="e">
        <f>(F49-E49)/E49</f>
        <v>#DIV/0!</v>
      </c>
      <c r="F39" s="641"/>
    </row>
    <row r="40" ht="15.6" customHeight="1" spans="1:6">
      <c r="A40" s="640" t="s">
        <v>157</v>
      </c>
      <c r="B40" s="641">
        <f>管理用资负表!B41</f>
        <v>115198</v>
      </c>
      <c r="C40" s="641">
        <f t="shared" si="6"/>
        <v>0</v>
      </c>
      <c r="D40" s="648"/>
      <c r="E40" s="649"/>
      <c r="F40" s="649"/>
    </row>
    <row r="41" ht="15.6" customHeight="1" spans="1:6">
      <c r="A41" s="643" t="s">
        <v>752</v>
      </c>
      <c r="B41" s="641">
        <f>SUM(B28:B40)</f>
        <v>230396</v>
      </c>
      <c r="C41" s="641">
        <f>SUM(C28:C40)</f>
        <v>0</v>
      </c>
      <c r="D41" s="648"/>
      <c r="E41" s="649"/>
      <c r="F41" s="649"/>
    </row>
    <row r="42" ht="15.6" customHeight="1" spans="1:6">
      <c r="A42" s="638" t="s">
        <v>753</v>
      </c>
      <c r="B42" s="644"/>
      <c r="C42" s="644"/>
      <c r="D42" s="638" t="s">
        <v>754</v>
      </c>
      <c r="E42" s="645"/>
      <c r="F42" s="645"/>
    </row>
    <row r="43" ht="15.6" customHeight="1" spans="1:6">
      <c r="A43" s="640" t="s">
        <v>755</v>
      </c>
      <c r="B43" s="641">
        <f>管理用资负表!B44</f>
        <v>0</v>
      </c>
      <c r="C43" s="641">
        <f t="shared" ref="C43:C47" si="7">B43*$E$31</f>
        <v>0</v>
      </c>
      <c r="D43" s="640" t="s">
        <v>756</v>
      </c>
      <c r="E43" s="641">
        <f>管理用资负表!E44</f>
        <v>0</v>
      </c>
      <c r="F43" s="641">
        <f t="shared" ref="F43:F45" si="8">E43</f>
        <v>0</v>
      </c>
    </row>
    <row r="44" ht="15.6" customHeight="1" spans="1:6">
      <c r="A44" s="640" t="s">
        <v>134</v>
      </c>
      <c r="B44" s="641">
        <f>管理用资负表!B45</f>
        <v>0</v>
      </c>
      <c r="C44" s="641">
        <f t="shared" si="7"/>
        <v>0</v>
      </c>
      <c r="D44" s="640" t="s">
        <v>150</v>
      </c>
      <c r="E44" s="641">
        <f>管理用资负表!E45</f>
        <v>0</v>
      </c>
      <c r="F44" s="641">
        <f t="shared" si="8"/>
        <v>0</v>
      </c>
    </row>
    <row r="45" ht="15.6" customHeight="1" spans="1:6">
      <c r="A45" s="640" t="s">
        <v>136</v>
      </c>
      <c r="B45" s="641">
        <f>管理用资负表!B46</f>
        <v>0</v>
      </c>
      <c r="C45" s="641">
        <f t="shared" si="7"/>
        <v>0</v>
      </c>
      <c r="D45" s="640" t="s">
        <v>757</v>
      </c>
      <c r="E45" s="641">
        <f>管理用资负表!E46</f>
        <v>0</v>
      </c>
      <c r="F45" s="641">
        <f t="shared" si="8"/>
        <v>0</v>
      </c>
    </row>
    <row r="46" ht="15.6" customHeight="1" spans="1:6">
      <c r="A46" s="640" t="s">
        <v>138</v>
      </c>
      <c r="B46" s="641">
        <f>管理用资负表!B47</f>
        <v>0</v>
      </c>
      <c r="C46" s="641">
        <f t="shared" si="7"/>
        <v>0</v>
      </c>
      <c r="D46" s="640" t="s">
        <v>154</v>
      </c>
      <c r="E46" s="641">
        <f>管理用资负表!E47</f>
        <v>0</v>
      </c>
      <c r="F46" s="641">
        <f>E46+预测利润表!C26*0.15</f>
        <v>0.000626100690026887</v>
      </c>
    </row>
    <row r="47" ht="15.6" customHeight="1" spans="1:6">
      <c r="A47" s="640" t="s">
        <v>140</v>
      </c>
      <c r="B47" s="641">
        <f>管理用资负表!B48</f>
        <v>0</v>
      </c>
      <c r="C47" s="641">
        <f t="shared" si="7"/>
        <v>0</v>
      </c>
      <c r="D47" s="640" t="s">
        <v>156</v>
      </c>
      <c r="E47" s="641">
        <f>管理用资负表!E48</f>
        <v>0</v>
      </c>
      <c r="F47" s="641">
        <f>C50-F26-F43-F44+F45-F46</f>
        <v>64525.9993738993</v>
      </c>
    </row>
    <row r="48" ht="15.6" customHeight="1" spans="1:6">
      <c r="A48" s="643" t="s">
        <v>758</v>
      </c>
      <c r="B48" s="641">
        <f>SUM(B43:B47)</f>
        <v>0</v>
      </c>
      <c r="C48" s="641">
        <f>SUM(C43:C47)</f>
        <v>0</v>
      </c>
      <c r="D48" s="646"/>
      <c r="E48" s="649"/>
      <c r="F48" s="649"/>
    </row>
    <row r="49" ht="15.6" customHeight="1" spans="1:6">
      <c r="A49" s="643" t="s">
        <v>759</v>
      </c>
      <c r="B49" s="641">
        <f>B41-B48</f>
        <v>230396</v>
      </c>
      <c r="C49" s="641">
        <f>C41-C48</f>
        <v>0</v>
      </c>
      <c r="D49" s="643" t="s">
        <v>760</v>
      </c>
      <c r="E49" s="641">
        <f>E43+E44-E45+E46+E47</f>
        <v>0</v>
      </c>
      <c r="F49" s="641">
        <f>F43+F44-F45+F46+F47</f>
        <v>64526</v>
      </c>
    </row>
    <row r="50" ht="15.6" customHeight="1" spans="1:6">
      <c r="A50" s="643" t="s">
        <v>761</v>
      </c>
      <c r="B50" s="641">
        <f t="shared" ref="B50:F50" si="9">B26+B49</f>
        <v>1167975</v>
      </c>
      <c r="C50" s="641">
        <f t="shared" si="9"/>
        <v>0</v>
      </c>
      <c r="D50" s="643" t="s">
        <v>762</v>
      </c>
      <c r="E50" s="641">
        <f t="shared" si="9"/>
        <v>-64526</v>
      </c>
      <c r="F50" s="641">
        <f t="shared" si="9"/>
        <v>0</v>
      </c>
    </row>
  </sheetData>
  <mergeCells count="13">
    <mergeCell ref="A1:F1"/>
    <mergeCell ref="C2:D2"/>
    <mergeCell ref="E29:F29"/>
    <mergeCell ref="E30:F30"/>
    <mergeCell ref="E31:F31"/>
    <mergeCell ref="E32:F32"/>
    <mergeCell ref="E33:F33"/>
    <mergeCell ref="E34:F34"/>
    <mergeCell ref="E35:F35"/>
    <mergeCell ref="E36:F36"/>
    <mergeCell ref="E37:F37"/>
    <mergeCell ref="E38:F38"/>
    <mergeCell ref="E39:F39"/>
  </mergeCells>
  <printOptions horizontalCentered="1"/>
  <pageMargins left="0.55" right="0.55" top="0.588888888888889" bottom="0.588888888888889" header="0.509027777777778" footer="0.509027777777778"/>
  <pageSetup paperSize="9" scale="90" orientation="portrait"/>
  <headerFooter alignWithMargins="0" scaleWithDoc="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C27"/>
  <sheetViews>
    <sheetView zoomScale="90" zoomScaleNormal="90" workbookViewId="0">
      <selection activeCell="B25" sqref="B25"/>
    </sheetView>
  </sheetViews>
  <sheetFormatPr defaultColWidth="8" defaultRowHeight="12.75" outlineLevelCol="2"/>
  <cols>
    <col min="1" max="1" width="45.875" style="619" customWidth="1"/>
    <col min="2" max="2" width="27.625" style="619" customWidth="1"/>
    <col min="3" max="3" width="27.5" style="619" customWidth="1"/>
    <col min="4" max="4" width="8" style="619" customWidth="1"/>
    <col min="5" max="16384" width="8" style="619"/>
  </cols>
  <sheetData>
    <row r="1" s="614" customFormat="1" ht="30" customHeight="1" spans="1:3">
      <c r="A1" s="620" t="s">
        <v>838</v>
      </c>
      <c r="B1" s="620"/>
      <c r="C1" s="620"/>
    </row>
    <row r="2" s="615" customFormat="1" ht="16.5" spans="2:3">
      <c r="B2" s="621" t="s">
        <v>839</v>
      </c>
      <c r="C2" s="622" t="s">
        <v>198</v>
      </c>
    </row>
    <row r="3" s="616" customFormat="1" ht="16.5" spans="1:3">
      <c r="A3" s="623" t="s">
        <v>409</v>
      </c>
      <c r="B3" s="623" t="s">
        <v>827</v>
      </c>
      <c r="C3" s="623" t="s">
        <v>828</v>
      </c>
    </row>
    <row r="4" s="617" customFormat="1" ht="16.5" spans="1:3">
      <c r="A4" s="624" t="s">
        <v>765</v>
      </c>
      <c r="B4" s="625"/>
      <c r="C4" s="625"/>
    </row>
    <row r="5" s="617" customFormat="1" ht="16.5" spans="1:3">
      <c r="A5" s="626" t="s">
        <v>766</v>
      </c>
      <c r="B5" s="627">
        <f>管理用利润表!B5</f>
        <v>300000</v>
      </c>
      <c r="C5" s="627">
        <f>预测负债表!E30</f>
        <v>0</v>
      </c>
    </row>
    <row r="6" s="617" customFormat="1" ht="16.5" spans="1:3">
      <c r="A6" s="628" t="s">
        <v>767</v>
      </c>
      <c r="B6" s="627">
        <f>管理用利润表!B6</f>
        <v>55552</v>
      </c>
      <c r="C6" s="627">
        <f>B6*预测负债表!$E$31</f>
        <v>0</v>
      </c>
    </row>
    <row r="7" s="617" customFormat="1" ht="16.5" spans="1:3">
      <c r="A7" s="626" t="s">
        <v>768</v>
      </c>
      <c r="B7" s="627">
        <f>B5-B6</f>
        <v>244448</v>
      </c>
      <c r="C7" s="627">
        <f>C5-C6</f>
        <v>0</v>
      </c>
    </row>
    <row r="8" s="617" customFormat="1" ht="16.5" spans="1:3">
      <c r="A8" s="628" t="s">
        <v>769</v>
      </c>
      <c r="B8" s="627">
        <f>管理用利润表!B8</f>
        <v>1334</v>
      </c>
      <c r="C8" s="627">
        <f>B8*预测负债表!$E$31</f>
        <v>0</v>
      </c>
    </row>
    <row r="9" s="617" customFormat="1" ht="16.5" spans="1:3">
      <c r="A9" s="628" t="s">
        <v>770</v>
      </c>
      <c r="B9" s="627">
        <f>管理用利润表!B9</f>
        <v>34111</v>
      </c>
      <c r="C9" s="627">
        <f>B9*预测负债表!$E$31</f>
        <v>0</v>
      </c>
    </row>
    <row r="10" s="617" customFormat="1" ht="16.5" spans="1:3">
      <c r="A10" s="628" t="s">
        <v>771</v>
      </c>
      <c r="B10" s="627">
        <f>管理用利润表!B10</f>
        <v>23444</v>
      </c>
      <c r="C10" s="627">
        <f>B10*预测负债表!$E$31</f>
        <v>0</v>
      </c>
    </row>
    <row r="11" s="617" customFormat="1" ht="16.5" spans="1:3">
      <c r="A11" s="628" t="s">
        <v>772</v>
      </c>
      <c r="B11" s="627">
        <f>管理用利润表!B11</f>
        <v>26000</v>
      </c>
      <c r="C11" s="627">
        <f>B11*预测负债表!$E$31</f>
        <v>0</v>
      </c>
    </row>
    <row r="12" s="617" customFormat="1" ht="16.5" spans="1:3">
      <c r="A12" s="628" t="s">
        <v>773</v>
      </c>
      <c r="B12" s="627">
        <f>管理用利润表!B12</f>
        <v>0</v>
      </c>
      <c r="C12" s="627">
        <f>B12*预测负债表!$E$31</f>
        <v>0</v>
      </c>
    </row>
    <row r="13" s="617" customFormat="1" ht="16.5" spans="1:3">
      <c r="A13" s="628" t="s">
        <v>774</v>
      </c>
      <c r="B13" s="627">
        <f>管理用利润表!B13</f>
        <v>0</v>
      </c>
      <c r="C13" s="627">
        <f>B13*预测负债表!$E$31</f>
        <v>0</v>
      </c>
    </row>
    <row r="14" s="617" customFormat="1" ht="16.5" spans="1:3">
      <c r="A14" s="628" t="s">
        <v>775</v>
      </c>
      <c r="B14" s="627">
        <f>管理用利润表!B14</f>
        <v>0</v>
      </c>
      <c r="C14" s="627">
        <f>B14*预测负债表!$E$31</f>
        <v>0</v>
      </c>
    </row>
    <row r="15" s="617" customFormat="1" ht="16.5" spans="1:3">
      <c r="A15" s="626" t="s">
        <v>776</v>
      </c>
      <c r="B15" s="627">
        <f>B7+B13+B14-SUM(B8:B12)</f>
        <v>159559</v>
      </c>
      <c r="C15" s="627">
        <f>C7+C13+C14-SUM(C8:C12)</f>
        <v>0</v>
      </c>
    </row>
    <row r="16" s="617" customFormat="1" ht="16.5" spans="1:3">
      <c r="A16" s="628" t="s">
        <v>777</v>
      </c>
      <c r="B16" s="627">
        <f>管理用利润表!B16</f>
        <v>0</v>
      </c>
      <c r="C16" s="627">
        <f>B16*预测负债表!$E$31</f>
        <v>0</v>
      </c>
    </row>
    <row r="17" s="617" customFormat="1" ht="16.5" spans="1:3">
      <c r="A17" s="628" t="s">
        <v>778</v>
      </c>
      <c r="B17" s="627">
        <f>管理用利润表!B17</f>
        <v>0</v>
      </c>
      <c r="C17" s="627">
        <f>B17*预测负债表!$E$31</f>
        <v>0</v>
      </c>
    </row>
    <row r="18" s="617" customFormat="1" ht="16.5" spans="1:3">
      <c r="A18" s="626" t="s">
        <v>779</v>
      </c>
      <c r="B18" s="627">
        <f>B15+B16-B17</f>
        <v>159559</v>
      </c>
      <c r="C18" s="627">
        <f>C15+C16-C17</f>
        <v>0</v>
      </c>
    </row>
    <row r="19" s="617" customFormat="1" ht="16.5" spans="1:3">
      <c r="A19" s="626" t="s">
        <v>780</v>
      </c>
      <c r="B19" s="627">
        <f>B18*B26</f>
        <v>666</v>
      </c>
      <c r="C19" s="627">
        <f>C18*C26</f>
        <v>0</v>
      </c>
    </row>
    <row r="20" s="617" customFormat="1" ht="16.5" spans="1:3">
      <c r="A20" s="626" t="s">
        <v>781</v>
      </c>
      <c r="B20" s="627">
        <f>B18-B19</f>
        <v>158893</v>
      </c>
      <c r="C20" s="627">
        <f>C18-C19</f>
        <v>0</v>
      </c>
    </row>
    <row r="21" s="617" customFormat="1" ht="16.5" spans="1:3">
      <c r="A21" s="624" t="s">
        <v>782</v>
      </c>
      <c r="B21" s="625"/>
      <c r="C21" s="625"/>
    </row>
    <row r="22" s="618" customFormat="1" ht="16.5" spans="1:3">
      <c r="A22" s="626" t="s">
        <v>783</v>
      </c>
      <c r="B22" s="627">
        <f>管理用利润表!B22</f>
        <v>0</v>
      </c>
      <c r="C22" s="627">
        <f t="shared" ref="C22:C26" si="0">B22</f>
        <v>0</v>
      </c>
    </row>
    <row r="23" s="617" customFormat="1" ht="16.5" spans="1:3">
      <c r="A23" s="626" t="s">
        <v>784</v>
      </c>
      <c r="B23" s="627">
        <f>B22*B26</f>
        <v>0</v>
      </c>
      <c r="C23" s="627">
        <f t="shared" si="0"/>
        <v>0</v>
      </c>
    </row>
    <row r="24" s="617" customFormat="1" ht="16.5" spans="1:3">
      <c r="A24" s="626" t="s">
        <v>785</v>
      </c>
      <c r="B24" s="627">
        <f>B22-B23</f>
        <v>0</v>
      </c>
      <c r="C24" s="627">
        <f>C22-C23</f>
        <v>0</v>
      </c>
    </row>
    <row r="25" s="617" customFormat="1" ht="16.5" spans="1:3">
      <c r="A25" s="626" t="s">
        <v>786</v>
      </c>
      <c r="B25" s="627">
        <f>B20-B24</f>
        <v>158893</v>
      </c>
      <c r="C25" s="627">
        <f>C20-C24</f>
        <v>0</v>
      </c>
    </row>
    <row r="26" s="617" customFormat="1" ht="16.5" spans="1:3">
      <c r="A26" s="626" t="s">
        <v>787</v>
      </c>
      <c r="B26" s="629">
        <f>管理用利润表!B26</f>
        <v>0.00417400460017924</v>
      </c>
      <c r="C26" s="629">
        <f t="shared" si="0"/>
        <v>0.00417400460017924</v>
      </c>
    </row>
    <row r="27" ht="24.95" customHeight="1" spans="1:3">
      <c r="A27" s="630"/>
      <c r="B27" s="630"/>
      <c r="C27" s="630"/>
    </row>
  </sheetData>
  <mergeCells count="1">
    <mergeCell ref="A1:C1"/>
  </mergeCells>
  <printOptions horizontalCentered="1"/>
  <pageMargins left="0.75" right="0.75" top="0.788888888888889" bottom="0.788888888888889" header="0.509027777777778" footer="0.509027777777778"/>
  <pageSetup paperSize="256" orientation="portrait"/>
  <headerFooter alignWithMargins="0" scaleWithDoc="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dimension ref="A1:Q37"/>
  <sheetViews>
    <sheetView zoomScale="90" zoomScaleNormal="90" workbookViewId="0">
      <selection activeCell="C8" sqref="C8"/>
    </sheetView>
  </sheetViews>
  <sheetFormatPr defaultColWidth="9" defaultRowHeight="16.5"/>
  <cols>
    <col min="1" max="1" width="23.125" style="347" customWidth="1"/>
    <col min="2" max="2" width="46.75" style="347" customWidth="1"/>
    <col min="3" max="3" width="7.25" style="347" customWidth="1"/>
    <col min="4" max="9" width="6.625" style="347" customWidth="1"/>
    <col min="10" max="10" width="7.875" style="347" customWidth="1"/>
    <col min="11" max="11" width="6.625" style="347" customWidth="1"/>
    <col min="12" max="12" width="7.25" style="347" customWidth="1"/>
    <col min="13" max="13" width="6.375" style="347" customWidth="1"/>
    <col min="14" max="14" width="6" style="347" customWidth="1"/>
    <col min="15" max="15" width="6.125" style="347" customWidth="1"/>
    <col min="16" max="17" width="6.25" style="347" customWidth="1"/>
    <col min="18" max="16384" width="9" style="347"/>
  </cols>
  <sheetData>
    <row r="1" ht="29.25" spans="1:17">
      <c r="A1" s="99" t="s">
        <v>840</v>
      </c>
      <c r="B1" s="99"/>
      <c r="C1" s="99"/>
      <c r="D1" s="99"/>
      <c r="E1" s="99"/>
      <c r="F1" s="99"/>
      <c r="G1" s="99"/>
      <c r="H1" s="99"/>
      <c r="I1" s="99"/>
      <c r="J1" s="99"/>
      <c r="K1" s="99"/>
      <c r="L1" s="99"/>
      <c r="M1" s="99"/>
      <c r="N1" s="99"/>
      <c r="O1" s="99"/>
      <c r="P1" s="99"/>
      <c r="Q1" s="99"/>
    </row>
    <row r="2" ht="20.1" customHeight="1" spans="1:17">
      <c r="A2" s="350"/>
      <c r="B2" s="350"/>
      <c r="C2" s="599"/>
      <c r="D2" s="600"/>
      <c r="E2" s="600"/>
      <c r="F2" s="600"/>
      <c r="G2" s="600"/>
      <c r="H2" s="600"/>
      <c r="I2" s="600"/>
      <c r="J2" s="600"/>
      <c r="K2" s="600"/>
      <c r="L2" s="600"/>
      <c r="M2" s="600"/>
      <c r="N2" s="600"/>
      <c r="O2" s="600"/>
      <c r="P2" s="600"/>
      <c r="Q2" s="600"/>
    </row>
    <row r="3" ht="15.6" customHeight="1" spans="1:17">
      <c r="A3" s="105" t="s">
        <v>409</v>
      </c>
      <c r="B3" s="105" t="s">
        <v>841</v>
      </c>
      <c r="C3" s="105" t="s">
        <v>842</v>
      </c>
      <c r="D3" s="108" t="s">
        <v>843</v>
      </c>
      <c r="E3" s="108"/>
      <c r="F3" s="108"/>
      <c r="G3" s="108"/>
      <c r="H3" s="601" t="s">
        <v>844</v>
      </c>
      <c r="I3" s="601" t="s">
        <v>845</v>
      </c>
      <c r="J3" s="601" t="s">
        <v>846</v>
      </c>
      <c r="K3" s="601" t="s">
        <v>847</v>
      </c>
      <c r="L3" s="601" t="s">
        <v>848</v>
      </c>
      <c r="M3" s="601" t="s">
        <v>849</v>
      </c>
      <c r="N3" s="601" t="s">
        <v>562</v>
      </c>
      <c r="O3" s="601" t="s">
        <v>850</v>
      </c>
      <c r="P3" s="601" t="s">
        <v>851</v>
      </c>
      <c r="Q3" s="601" t="s">
        <v>852</v>
      </c>
    </row>
    <row r="4" s="365" customFormat="1" ht="15.6" customHeight="1" spans="1:17">
      <c r="A4" s="105"/>
      <c r="B4" s="105"/>
      <c r="C4" s="105"/>
      <c r="D4" s="601" t="s">
        <v>853</v>
      </c>
      <c r="E4" s="601" t="s">
        <v>854</v>
      </c>
      <c r="F4" s="601" t="s">
        <v>855</v>
      </c>
      <c r="G4" s="108" t="s">
        <v>856</v>
      </c>
      <c r="H4" s="601"/>
      <c r="I4" s="601"/>
      <c r="J4" s="601"/>
      <c r="K4" s="601"/>
      <c r="L4" s="601"/>
      <c r="M4" s="601"/>
      <c r="N4" s="601"/>
      <c r="O4" s="601"/>
      <c r="P4" s="601"/>
      <c r="Q4" s="601"/>
    </row>
    <row r="5" ht="15.6" customHeight="1" spans="1:17">
      <c r="A5" s="602" t="s">
        <v>857</v>
      </c>
      <c r="B5" s="603"/>
      <c r="C5" s="604"/>
      <c r="D5" s="605"/>
      <c r="E5" s="605"/>
      <c r="F5" s="605"/>
      <c r="G5" s="605"/>
      <c r="H5" s="605"/>
      <c r="I5" s="605"/>
      <c r="J5" s="605"/>
      <c r="K5" s="605"/>
      <c r="L5" s="605"/>
      <c r="M5" s="605"/>
      <c r="N5" s="605"/>
      <c r="O5" s="605"/>
      <c r="P5" s="605"/>
      <c r="Q5" s="605"/>
    </row>
    <row r="6" ht="15.6" customHeight="1" spans="1:17">
      <c r="A6" s="606" t="s">
        <v>858</v>
      </c>
      <c r="B6" s="607" t="s">
        <v>859</v>
      </c>
      <c r="C6" s="121" t="e">
        <f>利润表!B23*2*100/(资产负债表!F36+资产负债表!E36)</f>
        <v>#DIV/0!</v>
      </c>
      <c r="D6" s="608">
        <v>7.3</v>
      </c>
      <c r="E6" s="608">
        <v>5.1</v>
      </c>
      <c r="F6" s="608">
        <v>4.3</v>
      </c>
      <c r="G6" s="609">
        <v>5.5</v>
      </c>
      <c r="H6" s="608">
        <v>6.2</v>
      </c>
      <c r="I6" s="608">
        <v>5.4</v>
      </c>
      <c r="J6" s="608">
        <v>1.9</v>
      </c>
      <c r="K6" s="608">
        <v>5.6</v>
      </c>
      <c r="L6" s="608">
        <v>6</v>
      </c>
      <c r="M6" s="608">
        <v>1.7</v>
      </c>
      <c r="N6" s="608">
        <v>6.7</v>
      </c>
      <c r="O6" s="608">
        <v>5.2</v>
      </c>
      <c r="P6" s="608">
        <v>6.2</v>
      </c>
      <c r="Q6" s="608">
        <v>2</v>
      </c>
    </row>
    <row r="7" ht="15.6" customHeight="1" spans="1:17">
      <c r="A7" s="606" t="s">
        <v>860</v>
      </c>
      <c r="B7" s="607" t="s">
        <v>861</v>
      </c>
      <c r="C7" s="121" t="e">
        <f>(利润表!B21+利润表!B12)*2*100/(资产负债表!C38+资产负债表!B38)</f>
        <v>#DIV/0!</v>
      </c>
      <c r="D7" s="608">
        <v>5.4</v>
      </c>
      <c r="E7" s="608">
        <v>2.8</v>
      </c>
      <c r="F7" s="608">
        <v>2.3</v>
      </c>
      <c r="G7" s="609">
        <v>4.1</v>
      </c>
      <c r="H7" s="608">
        <v>4.7</v>
      </c>
      <c r="I7" s="608">
        <v>1.2</v>
      </c>
      <c r="J7" s="608">
        <v>1.5</v>
      </c>
      <c r="K7" s="608">
        <v>4.8</v>
      </c>
      <c r="L7" s="608">
        <v>3.8</v>
      </c>
      <c r="M7" s="608">
        <v>1.2</v>
      </c>
      <c r="N7" s="608">
        <v>3.6</v>
      </c>
      <c r="O7" s="608">
        <v>4.1</v>
      </c>
      <c r="P7" s="608">
        <v>3.9</v>
      </c>
      <c r="Q7" s="608">
        <v>1.3</v>
      </c>
    </row>
    <row r="8" ht="15.6" customHeight="1" spans="1:17">
      <c r="A8" s="610" t="s">
        <v>862</v>
      </c>
      <c r="B8" s="607" t="s">
        <v>863</v>
      </c>
      <c r="C8" s="121">
        <f>(利润表!B7-利润表!B8-利润表!B9)*100/利润表!B7</f>
        <v>-4214.46776611694</v>
      </c>
      <c r="D8" s="608">
        <v>11.5</v>
      </c>
      <c r="E8" s="608">
        <v>8.3</v>
      </c>
      <c r="F8" s="608">
        <v>6.4</v>
      </c>
      <c r="G8" s="609">
        <v>8</v>
      </c>
      <c r="H8" s="608">
        <v>9.2</v>
      </c>
      <c r="I8" s="608">
        <v>5.2</v>
      </c>
      <c r="J8" s="608">
        <v>3.5</v>
      </c>
      <c r="K8" s="608">
        <v>21.2</v>
      </c>
      <c r="L8" s="608">
        <v>3.2</v>
      </c>
      <c r="M8" s="608">
        <v>26.1</v>
      </c>
      <c r="N8" s="608">
        <v>18.1</v>
      </c>
      <c r="O8" s="608">
        <v>6.5</v>
      </c>
      <c r="P8" s="608">
        <v>25.3</v>
      </c>
      <c r="Q8" s="608">
        <v>7.1</v>
      </c>
    </row>
    <row r="9" ht="15.6" customHeight="1" spans="1:17">
      <c r="A9" s="610" t="s">
        <v>864</v>
      </c>
      <c r="B9" s="607" t="s">
        <v>865</v>
      </c>
      <c r="C9" s="121">
        <f>现金流量表!B15/现金流量表!B49</f>
        <v>0</v>
      </c>
      <c r="D9" s="608">
        <v>0.9</v>
      </c>
      <c r="E9" s="608">
        <v>0.7</v>
      </c>
      <c r="F9" s="608">
        <v>0.2</v>
      </c>
      <c r="G9" s="609">
        <v>0.7</v>
      </c>
      <c r="H9" s="608">
        <v>1</v>
      </c>
      <c r="I9" s="608">
        <v>0.3</v>
      </c>
      <c r="J9" s="608">
        <v>1</v>
      </c>
      <c r="K9" s="608">
        <v>1.2</v>
      </c>
      <c r="L9" s="608">
        <v>0.7</v>
      </c>
      <c r="M9" s="608">
        <v>1.6</v>
      </c>
      <c r="N9" s="608">
        <v>1.2</v>
      </c>
      <c r="O9" s="608">
        <v>1.6</v>
      </c>
      <c r="P9" s="608">
        <v>1.1</v>
      </c>
      <c r="Q9" s="608">
        <v>0.9</v>
      </c>
    </row>
    <row r="10" ht="15.6" customHeight="1" spans="1:17">
      <c r="A10" s="610" t="s">
        <v>866</v>
      </c>
      <c r="B10" s="607" t="s">
        <v>867</v>
      </c>
      <c r="C10" s="121">
        <f ca="1">利润表!B21*100/SUM(利润表!B8:利润表!B12)</f>
        <v>190.165759080845</v>
      </c>
      <c r="D10" s="608">
        <v>6.7</v>
      </c>
      <c r="E10" s="608">
        <v>4.4</v>
      </c>
      <c r="F10" s="608">
        <v>2.3</v>
      </c>
      <c r="G10" s="609">
        <v>4</v>
      </c>
      <c r="H10" s="608">
        <v>4.8</v>
      </c>
      <c r="I10" s="608">
        <v>1.9</v>
      </c>
      <c r="J10" s="608">
        <v>1.5</v>
      </c>
      <c r="K10" s="608">
        <v>7.8</v>
      </c>
      <c r="L10" s="608">
        <v>1.9</v>
      </c>
      <c r="M10" s="608">
        <v>2.2</v>
      </c>
      <c r="N10" s="608">
        <v>9.2</v>
      </c>
      <c r="O10" s="608">
        <v>6.6</v>
      </c>
      <c r="P10" s="608">
        <v>8</v>
      </c>
      <c r="Q10" s="608">
        <v>2.5</v>
      </c>
    </row>
    <row r="11" ht="15.6" customHeight="1" spans="1:17">
      <c r="A11" s="610" t="s">
        <v>868</v>
      </c>
      <c r="B11" s="607" t="s">
        <v>869</v>
      </c>
      <c r="C11" s="121" t="e">
        <f>利润表!B23*2*100/(资产负债表!F31+资产负债表!F32+资产负债表!E31+资产负债表!E32)</f>
        <v>#DIV/0!</v>
      </c>
      <c r="D11" s="608">
        <v>7.9</v>
      </c>
      <c r="E11" s="608">
        <v>5.4</v>
      </c>
      <c r="F11" s="608">
        <v>4.5</v>
      </c>
      <c r="G11" s="609">
        <v>6</v>
      </c>
      <c r="H11" s="608">
        <v>6.5</v>
      </c>
      <c r="I11" s="608">
        <v>6.8</v>
      </c>
      <c r="J11" s="608">
        <v>2.3</v>
      </c>
      <c r="K11" s="608">
        <v>6.2</v>
      </c>
      <c r="L11" s="608">
        <v>7.1</v>
      </c>
      <c r="M11" s="608">
        <v>1.9</v>
      </c>
      <c r="N11" s="608">
        <v>8</v>
      </c>
      <c r="O11" s="608">
        <v>6.8</v>
      </c>
      <c r="P11" s="608">
        <v>7.5</v>
      </c>
      <c r="Q11" s="608">
        <v>2.7</v>
      </c>
    </row>
    <row r="12" ht="15.6" customHeight="1" spans="1:17">
      <c r="A12" s="602" t="s">
        <v>870</v>
      </c>
      <c r="B12" s="607"/>
      <c r="C12" s="126"/>
      <c r="D12" s="605"/>
      <c r="E12" s="605"/>
      <c r="F12" s="605"/>
      <c r="G12" s="115"/>
      <c r="H12" s="605"/>
      <c r="I12" s="605"/>
      <c r="J12" s="605"/>
      <c r="K12" s="605"/>
      <c r="L12" s="605"/>
      <c r="M12" s="605"/>
      <c r="N12" s="605"/>
      <c r="O12" s="605"/>
      <c r="P12" s="605"/>
      <c r="Q12" s="605"/>
    </row>
    <row r="13" ht="15.6" customHeight="1" spans="1:17">
      <c r="A13" s="606" t="s">
        <v>871</v>
      </c>
      <c r="B13" s="607" t="s">
        <v>872</v>
      </c>
      <c r="C13" s="121" t="e">
        <f>利润表!G9*2/(资产负债表!H40+资产负债表!G40)</f>
        <v>#DIV/0!</v>
      </c>
      <c r="D13" s="608">
        <v>0.5</v>
      </c>
      <c r="E13" s="608">
        <v>0.7</v>
      </c>
      <c r="F13" s="608">
        <v>0.5</v>
      </c>
      <c r="G13" s="609">
        <v>0.5</v>
      </c>
      <c r="H13" s="608">
        <v>0.6</v>
      </c>
      <c r="I13" s="608">
        <v>0.5</v>
      </c>
      <c r="J13" s="608">
        <v>0.4</v>
      </c>
      <c r="K13" s="608">
        <v>0.6</v>
      </c>
      <c r="L13" s="608">
        <v>1.1</v>
      </c>
      <c r="M13" s="608">
        <v>0.4</v>
      </c>
      <c r="N13" s="608">
        <v>0.3</v>
      </c>
      <c r="O13" s="608">
        <v>0.6</v>
      </c>
      <c r="P13" s="608">
        <v>0.4</v>
      </c>
      <c r="Q13" s="608">
        <v>0.6</v>
      </c>
    </row>
    <row r="14" ht="15.6" customHeight="1" spans="1:17">
      <c r="A14" s="606" t="s">
        <v>873</v>
      </c>
      <c r="B14" s="607" t="s">
        <v>874</v>
      </c>
      <c r="C14" s="121" t="e">
        <f>利润表!G9*2/(资产负债表!H12+资产负债表!G12)</f>
        <v>#DIV/0!</v>
      </c>
      <c r="D14" s="608">
        <v>10</v>
      </c>
      <c r="E14" s="608">
        <v>6.9</v>
      </c>
      <c r="F14" s="608">
        <v>6.4</v>
      </c>
      <c r="G14" s="609">
        <v>8.2</v>
      </c>
      <c r="H14" s="608">
        <v>7</v>
      </c>
      <c r="I14" s="608">
        <v>3.4</v>
      </c>
      <c r="J14" s="608">
        <v>3</v>
      </c>
      <c r="K14" s="608">
        <v>7</v>
      </c>
      <c r="L14" s="608">
        <v>9.2</v>
      </c>
      <c r="M14" s="608">
        <v>15.4</v>
      </c>
      <c r="N14" s="608">
        <v>7.9</v>
      </c>
      <c r="O14" s="608">
        <v>5.8</v>
      </c>
      <c r="P14" s="608">
        <v>9.6</v>
      </c>
      <c r="Q14" s="608">
        <v>11</v>
      </c>
    </row>
    <row r="15" ht="15.6" customHeight="1" spans="1:17">
      <c r="A15" s="610" t="s">
        <v>875</v>
      </c>
      <c r="B15" s="607" t="s">
        <v>876</v>
      </c>
      <c r="C15" s="121" t="e">
        <f>利润表!G15*100/(利润表!G15+资产负债表!G40)</f>
        <v>#DIV/0!</v>
      </c>
      <c r="D15" s="608">
        <v>0.8</v>
      </c>
      <c r="E15" s="608">
        <v>2</v>
      </c>
      <c r="F15" s="608">
        <v>2.8</v>
      </c>
      <c r="G15" s="609">
        <v>2.5</v>
      </c>
      <c r="H15" s="608">
        <v>2.4</v>
      </c>
      <c r="I15" s="608">
        <v>1.8</v>
      </c>
      <c r="J15" s="608">
        <v>2.5</v>
      </c>
      <c r="K15" s="608">
        <v>2.5</v>
      </c>
      <c r="L15" s="608">
        <v>4</v>
      </c>
      <c r="M15" s="608">
        <v>2.2</v>
      </c>
      <c r="N15" s="608">
        <v>4</v>
      </c>
      <c r="O15" s="608">
        <v>2</v>
      </c>
      <c r="P15" s="608">
        <v>1.2</v>
      </c>
      <c r="Q15" s="608">
        <v>5.5</v>
      </c>
    </row>
    <row r="16" ht="15.6" customHeight="1" spans="1:17">
      <c r="A16" s="610" t="s">
        <v>877</v>
      </c>
      <c r="B16" s="607" t="s">
        <v>878</v>
      </c>
      <c r="C16" s="121" t="e">
        <f>利润表!G9*2/(资产负债表!H20+资产负债表!G20)</f>
        <v>#DIV/0!</v>
      </c>
      <c r="D16" s="608">
        <v>1.3</v>
      </c>
      <c r="E16" s="608">
        <v>1.3</v>
      </c>
      <c r="F16" s="608">
        <v>1.4</v>
      </c>
      <c r="G16" s="609">
        <v>1.3</v>
      </c>
      <c r="H16" s="608">
        <v>1.8</v>
      </c>
      <c r="I16" s="608">
        <v>0.9</v>
      </c>
      <c r="J16" s="608">
        <v>1.5</v>
      </c>
      <c r="K16" s="608">
        <v>1.3</v>
      </c>
      <c r="L16" s="608">
        <v>1.4</v>
      </c>
      <c r="M16" s="608">
        <v>1.2</v>
      </c>
      <c r="N16" s="608">
        <v>0.4</v>
      </c>
      <c r="O16" s="608">
        <v>1</v>
      </c>
      <c r="P16" s="608">
        <v>0.6</v>
      </c>
      <c r="Q16" s="608">
        <v>1</v>
      </c>
    </row>
    <row r="17" ht="15.6" customHeight="1" spans="1:17">
      <c r="A17" s="610" t="s">
        <v>879</v>
      </c>
      <c r="B17" s="607" t="s">
        <v>880</v>
      </c>
      <c r="C17" s="611" t="e">
        <f>现金流量表!G17*2*100/(资产负债表!H40+资产负债表!G40)</f>
        <v>#DIV/0!</v>
      </c>
      <c r="D17" s="608">
        <v>5.3</v>
      </c>
      <c r="E17" s="608">
        <v>3.4</v>
      </c>
      <c r="F17" s="608">
        <v>0.1</v>
      </c>
      <c r="G17" s="609">
        <v>3</v>
      </c>
      <c r="H17" s="608">
        <v>4.2</v>
      </c>
      <c r="I17" s="608">
        <v>0.7</v>
      </c>
      <c r="J17" s="608">
        <v>2.5</v>
      </c>
      <c r="K17" s="608">
        <v>6.2</v>
      </c>
      <c r="L17" s="608">
        <v>1.5</v>
      </c>
      <c r="M17" s="608">
        <v>4</v>
      </c>
      <c r="N17" s="608">
        <v>0.8</v>
      </c>
      <c r="O17" s="608">
        <v>2.5</v>
      </c>
      <c r="P17" s="608">
        <v>3.4</v>
      </c>
      <c r="Q17" s="608">
        <v>1.2</v>
      </c>
    </row>
    <row r="18" ht="15.6" customHeight="1" spans="1:17">
      <c r="A18" s="602" t="s">
        <v>881</v>
      </c>
      <c r="B18" s="607"/>
      <c r="C18" s="126"/>
      <c r="D18" s="605"/>
      <c r="E18" s="605"/>
      <c r="F18" s="605"/>
      <c r="G18" s="115"/>
      <c r="H18" s="605"/>
      <c r="I18" s="605"/>
      <c r="J18" s="605"/>
      <c r="K18" s="605"/>
      <c r="L18" s="605"/>
      <c r="M18" s="605"/>
      <c r="N18" s="605"/>
      <c r="O18" s="605"/>
      <c r="P18" s="605"/>
      <c r="Q18" s="605"/>
    </row>
    <row r="19" ht="15.6" customHeight="1" spans="1:17">
      <c r="A19" s="606" t="s">
        <v>882</v>
      </c>
      <c r="B19" s="607" t="s">
        <v>883</v>
      </c>
      <c r="C19" s="121" t="e">
        <f>资产负债表!J25*100/资产负债表!G34</f>
        <v>#DIV/0!</v>
      </c>
      <c r="D19" s="608">
        <v>57.5</v>
      </c>
      <c r="E19" s="608">
        <v>62</v>
      </c>
      <c r="F19" s="608">
        <v>67.1</v>
      </c>
      <c r="G19" s="609">
        <v>64</v>
      </c>
      <c r="H19" s="608">
        <v>62.5</v>
      </c>
      <c r="I19" s="608">
        <v>77.5</v>
      </c>
      <c r="J19" s="608">
        <v>65.3</v>
      </c>
      <c r="K19" s="608">
        <v>55.6</v>
      </c>
      <c r="L19" s="608">
        <v>73.6</v>
      </c>
      <c r="M19" s="608">
        <v>53.3</v>
      </c>
      <c r="N19" s="608">
        <v>75.4</v>
      </c>
      <c r="O19" s="608">
        <v>60</v>
      </c>
      <c r="P19" s="608">
        <v>46.9</v>
      </c>
      <c r="Q19" s="608">
        <v>67.7</v>
      </c>
    </row>
    <row r="20" ht="15.6" customHeight="1" spans="1:17">
      <c r="A20" s="606" t="s">
        <v>884</v>
      </c>
      <c r="B20" s="607" t="s">
        <v>885</v>
      </c>
      <c r="C20" s="121" t="e">
        <f>(利润表!G17+利润表!G8)/利润表!G8</f>
        <v>#DIV/0!</v>
      </c>
      <c r="D20" s="608">
        <v>3</v>
      </c>
      <c r="E20" s="608">
        <v>1.7</v>
      </c>
      <c r="F20" s="608">
        <v>1.3</v>
      </c>
      <c r="G20" s="609">
        <v>2.8</v>
      </c>
      <c r="H20" s="608">
        <v>3</v>
      </c>
      <c r="I20" s="608">
        <v>2.3</v>
      </c>
      <c r="J20" s="608">
        <v>2.1</v>
      </c>
      <c r="K20" s="608">
        <v>3.7</v>
      </c>
      <c r="L20" s="608">
        <v>1.8</v>
      </c>
      <c r="M20" s="608">
        <v>1.1</v>
      </c>
      <c r="N20" s="608">
        <v>2.9</v>
      </c>
      <c r="O20" s="608">
        <v>3.5</v>
      </c>
      <c r="P20" s="608">
        <v>2.2</v>
      </c>
      <c r="Q20" s="608">
        <v>2.2</v>
      </c>
    </row>
    <row r="21" ht="15.6" customHeight="1" spans="1:17">
      <c r="A21" s="610" t="s">
        <v>886</v>
      </c>
      <c r="B21" s="607" t="s">
        <v>887</v>
      </c>
      <c r="C21" s="121" t="e">
        <f>(资产负债表!G14-资产负债表!G11)*100/资产负债表!J15</f>
        <v>#DIV/0!</v>
      </c>
      <c r="D21" s="608">
        <v>77.5</v>
      </c>
      <c r="E21" s="608">
        <v>74.3</v>
      </c>
      <c r="F21" s="608">
        <v>87.3</v>
      </c>
      <c r="G21" s="609">
        <v>75</v>
      </c>
      <c r="H21" s="608">
        <v>76</v>
      </c>
      <c r="I21" s="608">
        <v>67</v>
      </c>
      <c r="J21" s="608">
        <v>70.2</v>
      </c>
      <c r="K21" s="608">
        <v>89.7</v>
      </c>
      <c r="L21" s="608">
        <v>78.5</v>
      </c>
      <c r="M21" s="608">
        <v>71.2</v>
      </c>
      <c r="N21" s="608">
        <v>73.2</v>
      </c>
      <c r="O21" s="608">
        <v>101.3</v>
      </c>
      <c r="P21" s="608">
        <v>88.2</v>
      </c>
      <c r="Q21" s="608">
        <v>77.8</v>
      </c>
    </row>
    <row r="22" ht="15.6" customHeight="1" spans="1:17">
      <c r="A22" s="610" t="s">
        <v>888</v>
      </c>
      <c r="B22" s="607" t="s">
        <v>889</v>
      </c>
      <c r="C22" s="121" t="e">
        <f>现金流量表!B15*100/资产负债表!E19</f>
        <v>#DIV/0!</v>
      </c>
      <c r="D22" s="608">
        <v>14</v>
      </c>
      <c r="E22" s="608">
        <v>6.6</v>
      </c>
      <c r="F22" s="608">
        <v>2.8</v>
      </c>
      <c r="G22" s="609">
        <v>8.9</v>
      </c>
      <c r="H22" s="608">
        <v>9.9</v>
      </c>
      <c r="I22" s="608">
        <v>1.7</v>
      </c>
      <c r="J22" s="608">
        <v>6.1</v>
      </c>
      <c r="K22" s="608">
        <v>34.3</v>
      </c>
      <c r="L22" s="608">
        <v>1.9</v>
      </c>
      <c r="M22" s="608">
        <v>9</v>
      </c>
      <c r="N22" s="608">
        <v>1.1</v>
      </c>
      <c r="O22" s="608">
        <v>8</v>
      </c>
      <c r="P22" s="608">
        <v>8.9</v>
      </c>
      <c r="Q22" s="608">
        <v>3.2</v>
      </c>
    </row>
    <row r="23" ht="33" spans="1:17">
      <c r="A23" s="610" t="s">
        <v>890</v>
      </c>
      <c r="B23" s="607" t="s">
        <v>891</v>
      </c>
      <c r="C23" s="121" t="e">
        <f>(资产负债表!J3+资产负债表!J13+资产负债表!J17+资产负债表!J18+资产负债表!J10)*100/资产负债表!J25</f>
        <v>#DIV/0!</v>
      </c>
      <c r="D23" s="608">
        <v>45.5</v>
      </c>
      <c r="E23" s="608">
        <v>49.5</v>
      </c>
      <c r="F23" s="608">
        <v>52.8</v>
      </c>
      <c r="G23" s="609">
        <v>50.1</v>
      </c>
      <c r="H23" s="608">
        <v>52.2</v>
      </c>
      <c r="I23" s="608">
        <v>40.2</v>
      </c>
      <c r="J23" s="608">
        <v>64.3</v>
      </c>
      <c r="K23" s="608">
        <v>48.2</v>
      </c>
      <c r="L23" s="608">
        <v>58.2</v>
      </c>
      <c r="M23" s="608">
        <v>44.4</v>
      </c>
      <c r="N23" s="608">
        <v>63.8</v>
      </c>
      <c r="O23" s="608">
        <v>50.9</v>
      </c>
      <c r="P23" s="608">
        <v>50.9</v>
      </c>
      <c r="Q23" s="608">
        <v>44.7</v>
      </c>
    </row>
    <row r="24" ht="15.6" customHeight="1" spans="1:17">
      <c r="A24" s="610" t="s">
        <v>892</v>
      </c>
      <c r="B24" s="607" t="s">
        <v>893</v>
      </c>
      <c r="C24" s="121" t="e">
        <f>资产负债表!J21*100/资产负债表!J32</f>
        <v>#DIV/0!</v>
      </c>
      <c r="D24" s="608">
        <v>5.3</v>
      </c>
      <c r="E24" s="608">
        <v>4.7</v>
      </c>
      <c r="F24" s="608">
        <v>5.6</v>
      </c>
      <c r="G24" s="609">
        <v>4.8</v>
      </c>
      <c r="H24" s="608">
        <v>5</v>
      </c>
      <c r="I24" s="608">
        <v>4.7</v>
      </c>
      <c r="J24" s="608">
        <v>7</v>
      </c>
      <c r="K24" s="608">
        <v>4.5</v>
      </c>
      <c r="L24" s="608">
        <v>5.6</v>
      </c>
      <c r="M24" s="608">
        <v>6.3</v>
      </c>
      <c r="N24" s="608">
        <v>7.2</v>
      </c>
      <c r="O24" s="608">
        <v>5.5</v>
      </c>
      <c r="P24" s="608">
        <v>3.6</v>
      </c>
      <c r="Q24" s="608">
        <v>6.8</v>
      </c>
    </row>
    <row r="25" ht="15.6" customHeight="1" spans="1:17">
      <c r="A25" s="602" t="s">
        <v>894</v>
      </c>
      <c r="B25" s="607"/>
      <c r="C25" s="126"/>
      <c r="D25" s="605"/>
      <c r="E25" s="605"/>
      <c r="F25" s="605"/>
      <c r="G25" s="115"/>
      <c r="H25" s="605"/>
      <c r="I25" s="605"/>
      <c r="J25" s="605"/>
      <c r="K25" s="605"/>
      <c r="L25" s="605"/>
      <c r="M25" s="605"/>
      <c r="N25" s="605"/>
      <c r="O25" s="605"/>
      <c r="P25" s="605"/>
      <c r="Q25" s="605"/>
    </row>
    <row r="26" ht="15.6" customHeight="1" spans="1:17">
      <c r="A26" s="606" t="s">
        <v>895</v>
      </c>
      <c r="B26" s="607" t="s">
        <v>896</v>
      </c>
      <c r="C26" s="121">
        <f>(利润表!B7-利润表!C7)*100/利润表!C7</f>
        <v>214.622641509434</v>
      </c>
      <c r="D26" s="608">
        <v>12.9</v>
      </c>
      <c r="E26" s="608">
        <v>12</v>
      </c>
      <c r="F26" s="608">
        <v>4.2</v>
      </c>
      <c r="G26" s="609">
        <v>9.8</v>
      </c>
      <c r="H26" s="608">
        <v>11.3</v>
      </c>
      <c r="I26" s="608">
        <v>3.4</v>
      </c>
      <c r="J26" s="608">
        <v>3.2</v>
      </c>
      <c r="K26" s="608">
        <v>6.3</v>
      </c>
      <c r="L26" s="608">
        <v>6.4</v>
      </c>
      <c r="M26" s="608">
        <v>9.2</v>
      </c>
      <c r="N26" s="608">
        <v>14.7</v>
      </c>
      <c r="O26" s="608">
        <v>10.8</v>
      </c>
      <c r="P26" s="608">
        <v>2.6</v>
      </c>
      <c r="Q26" s="608">
        <v>10.3</v>
      </c>
    </row>
    <row r="27" ht="15.6" customHeight="1" spans="1:17">
      <c r="A27" s="606" t="s">
        <v>897</v>
      </c>
      <c r="B27" s="607" t="s">
        <v>898</v>
      </c>
      <c r="C27" s="121" t="e">
        <f>资产负债表!E36*100/资产负债表!F36</f>
        <v>#DIV/0!</v>
      </c>
      <c r="D27" s="608">
        <v>105.7</v>
      </c>
      <c r="E27" s="608">
        <v>103</v>
      </c>
      <c r="F27" s="608">
        <v>102.5</v>
      </c>
      <c r="G27" s="609">
        <v>104.5</v>
      </c>
      <c r="H27" s="608">
        <v>105.1</v>
      </c>
      <c r="I27" s="608">
        <v>105</v>
      </c>
      <c r="J27" s="608">
        <v>100.9</v>
      </c>
      <c r="K27" s="608">
        <v>104.9</v>
      </c>
      <c r="L27" s="608">
        <v>103.4</v>
      </c>
      <c r="M27" s="608">
        <v>101.1</v>
      </c>
      <c r="N27" s="608">
        <v>105.8</v>
      </c>
      <c r="O27" s="608">
        <v>105.1</v>
      </c>
      <c r="P27" s="608">
        <v>104.7</v>
      </c>
      <c r="Q27" s="608">
        <v>102.6</v>
      </c>
    </row>
    <row r="28" spans="1:17">
      <c r="A28" s="610" t="s">
        <v>899</v>
      </c>
      <c r="B28" s="607" t="s">
        <v>900</v>
      </c>
      <c r="C28" s="121">
        <f>(利润表!B7-利润表!B8-利润表!B9-利润表!C7+利润表!C8+利润表!C9)*100/(利润表!C7-利润表!C8-利润表!C9)</f>
        <v>59.6779232582578</v>
      </c>
      <c r="D28" s="608">
        <v>6.5</v>
      </c>
      <c r="E28" s="608">
        <v>7.3</v>
      </c>
      <c r="F28" s="608">
        <v>3.5</v>
      </c>
      <c r="G28" s="609">
        <v>7</v>
      </c>
      <c r="H28" s="608">
        <v>7.8</v>
      </c>
      <c r="I28" s="608">
        <v>8.9</v>
      </c>
      <c r="J28" s="608">
        <v>1</v>
      </c>
      <c r="K28" s="608">
        <v>6.6</v>
      </c>
      <c r="L28" s="608">
        <v>7</v>
      </c>
      <c r="M28" s="608">
        <v>7.6</v>
      </c>
      <c r="N28" s="608">
        <v>11.7</v>
      </c>
      <c r="O28" s="608">
        <v>5.7</v>
      </c>
      <c r="P28" s="608">
        <v>2.1</v>
      </c>
      <c r="Q28" s="608">
        <v>0.8</v>
      </c>
    </row>
    <row r="29" ht="15.6" customHeight="1" spans="1:17">
      <c r="A29" s="610" t="s">
        <v>901</v>
      </c>
      <c r="B29" s="607" t="s">
        <v>902</v>
      </c>
      <c r="C29" s="121" t="e">
        <f>(资产负债表!B38-资产负债表!C38)*100/资产负债表!C38</f>
        <v>#DIV/0!</v>
      </c>
      <c r="D29" s="608">
        <v>9.6</v>
      </c>
      <c r="E29" s="608">
        <v>10.9</v>
      </c>
      <c r="F29" s="608">
        <v>5.5</v>
      </c>
      <c r="G29" s="609">
        <v>10.6</v>
      </c>
      <c r="H29" s="608">
        <v>11.1</v>
      </c>
      <c r="I29" s="608">
        <v>14.5</v>
      </c>
      <c r="J29" s="608">
        <v>4.8</v>
      </c>
      <c r="K29" s="608">
        <v>5.5</v>
      </c>
      <c r="L29" s="608">
        <v>7</v>
      </c>
      <c r="M29" s="608">
        <v>4.2</v>
      </c>
      <c r="N29" s="608">
        <v>11.9</v>
      </c>
      <c r="O29" s="608">
        <v>10.9</v>
      </c>
      <c r="P29" s="608">
        <v>5.4</v>
      </c>
      <c r="Q29" s="608">
        <v>4.8</v>
      </c>
    </row>
    <row r="30" ht="15.6" customHeight="1" spans="1:17">
      <c r="A30" s="610" t="s">
        <v>903</v>
      </c>
      <c r="B30" s="607" t="s">
        <v>904</v>
      </c>
      <c r="C30" s="612"/>
      <c r="D30" s="608">
        <v>2.2</v>
      </c>
      <c r="E30" s="608">
        <v>1.7</v>
      </c>
      <c r="F30" s="608">
        <v>1.2</v>
      </c>
      <c r="G30" s="609">
        <v>1.7</v>
      </c>
      <c r="H30" s="608">
        <v>1.9</v>
      </c>
      <c r="I30" s="608">
        <v>0.8</v>
      </c>
      <c r="J30" s="608">
        <v>0.3</v>
      </c>
      <c r="K30" s="608">
        <v>4.5</v>
      </c>
      <c r="L30" s="608">
        <v>0.6</v>
      </c>
      <c r="M30" s="608">
        <v>0.6</v>
      </c>
      <c r="N30" s="608">
        <v>0.8</v>
      </c>
      <c r="O30" s="608">
        <v>4</v>
      </c>
      <c r="P30" s="608">
        <v>0.8</v>
      </c>
      <c r="Q30" s="608">
        <v>0.7</v>
      </c>
    </row>
    <row r="31" ht="15.6" customHeight="1" spans="1:17">
      <c r="A31" s="602" t="s">
        <v>905</v>
      </c>
      <c r="B31" s="607"/>
      <c r="C31" s="126"/>
      <c r="D31" s="605"/>
      <c r="E31" s="605"/>
      <c r="F31" s="605"/>
      <c r="G31" s="605"/>
      <c r="H31" s="605"/>
      <c r="I31" s="605"/>
      <c r="J31" s="605"/>
      <c r="K31" s="605"/>
      <c r="L31" s="605"/>
      <c r="M31" s="605"/>
      <c r="N31" s="605"/>
      <c r="O31" s="605"/>
      <c r="P31" s="605"/>
      <c r="Q31" s="605"/>
    </row>
    <row r="32" ht="15.6" customHeight="1" spans="1:17">
      <c r="A32" s="613" t="s">
        <v>906</v>
      </c>
      <c r="B32" s="607" t="s">
        <v>907</v>
      </c>
      <c r="C32" s="121" t="e">
        <f>利润表!B8*2/(资产负债表!C15+资产负债表!B15)</f>
        <v>#DIV/0!</v>
      </c>
      <c r="D32" s="608">
        <v>5.5</v>
      </c>
      <c r="E32" s="608">
        <v>3.8</v>
      </c>
      <c r="F32" s="608">
        <v>2.5</v>
      </c>
      <c r="G32" s="608">
        <v>4.7</v>
      </c>
      <c r="H32" s="608">
        <v>4.5</v>
      </c>
      <c r="I32" s="608">
        <v>4.7</v>
      </c>
      <c r="J32" s="608">
        <v>4</v>
      </c>
      <c r="K32" s="608">
        <v>14.7</v>
      </c>
      <c r="L32" s="608">
        <v>8.9</v>
      </c>
      <c r="M32" s="608">
        <v>5.7</v>
      </c>
      <c r="N32" s="608">
        <v>0.8</v>
      </c>
      <c r="O32" s="608">
        <v>2.5</v>
      </c>
      <c r="P32" s="608">
        <v>1.8</v>
      </c>
      <c r="Q32" s="608">
        <v>3.2</v>
      </c>
    </row>
    <row r="33" ht="15.6" customHeight="1" spans="1:17">
      <c r="A33" s="613" t="s">
        <v>908</v>
      </c>
      <c r="B33" s="607" t="s">
        <v>909</v>
      </c>
      <c r="C33" s="612"/>
      <c r="D33" s="608">
        <v>11.1</v>
      </c>
      <c r="E33" s="608">
        <v>8.7</v>
      </c>
      <c r="F33" s="608">
        <v>3</v>
      </c>
      <c r="G33" s="608">
        <v>10</v>
      </c>
      <c r="H33" s="608">
        <v>10.8</v>
      </c>
      <c r="I33" s="608">
        <v>14.2</v>
      </c>
      <c r="J33" s="608">
        <v>6</v>
      </c>
      <c r="K33" s="608">
        <v>8.8</v>
      </c>
      <c r="L33" s="608">
        <v>9.7</v>
      </c>
      <c r="M33" s="608">
        <v>8.3</v>
      </c>
      <c r="N33" s="608">
        <v>8.6</v>
      </c>
      <c r="O33" s="608">
        <v>10.5</v>
      </c>
      <c r="P33" s="608">
        <v>6.1</v>
      </c>
      <c r="Q33" s="608">
        <v>10.1</v>
      </c>
    </row>
    <row r="34" ht="15.6" customHeight="1" spans="1:17">
      <c r="A34" s="613" t="s">
        <v>910</v>
      </c>
      <c r="B34" s="607" t="s">
        <v>911</v>
      </c>
      <c r="C34" s="611">
        <f>(利润表!B8+利润表!B10+利润表!B11+利润表!B12)*100/利润表!B7</f>
        <v>4506.07196401799</v>
      </c>
      <c r="D34" s="608">
        <v>95.5</v>
      </c>
      <c r="E34" s="608">
        <v>97.1</v>
      </c>
      <c r="F34" s="608">
        <v>98.2</v>
      </c>
      <c r="G34" s="608">
        <v>96.7</v>
      </c>
      <c r="H34" s="608">
        <v>96.1</v>
      </c>
      <c r="I34" s="608">
        <v>98.5</v>
      </c>
      <c r="J34" s="608">
        <v>98.1</v>
      </c>
      <c r="K34" s="608">
        <v>83.4</v>
      </c>
      <c r="L34" s="608">
        <v>98.8</v>
      </c>
      <c r="M34" s="608">
        <v>100.1</v>
      </c>
      <c r="N34" s="608">
        <v>84.4</v>
      </c>
      <c r="O34" s="608">
        <v>92.6</v>
      </c>
      <c r="P34" s="608">
        <v>97.6</v>
      </c>
      <c r="Q34" s="608">
        <v>98.5</v>
      </c>
    </row>
    <row r="35" ht="15.6" customHeight="1" spans="1:17">
      <c r="A35" s="613" t="s">
        <v>912</v>
      </c>
      <c r="B35" s="607" t="s">
        <v>913</v>
      </c>
      <c r="C35" s="612"/>
      <c r="D35" s="608">
        <v>1.4</v>
      </c>
      <c r="E35" s="608">
        <v>0.1</v>
      </c>
      <c r="F35" s="608">
        <v>-1.2</v>
      </c>
      <c r="G35" s="608">
        <v>0.3</v>
      </c>
      <c r="H35" s="608">
        <v>0.9</v>
      </c>
      <c r="I35" s="608">
        <v>-0.8</v>
      </c>
      <c r="J35" s="608">
        <v>-4</v>
      </c>
      <c r="K35" s="608">
        <v>3.6</v>
      </c>
      <c r="L35" s="608">
        <v>2.4</v>
      </c>
      <c r="M35" s="608">
        <v>-2.6</v>
      </c>
      <c r="N35" s="608">
        <v>2.1</v>
      </c>
      <c r="O35" s="608">
        <v>1.5</v>
      </c>
      <c r="P35" s="608">
        <v>1</v>
      </c>
      <c r="Q35" s="608">
        <v>-1</v>
      </c>
    </row>
    <row r="36" ht="33" spans="1:17">
      <c r="A36" s="613" t="s">
        <v>914</v>
      </c>
      <c r="B36" s="607" t="s">
        <v>915</v>
      </c>
      <c r="C36" s="611">
        <f>(现金流量表!B49+现金流量表!B51+现金流量表!B52+现金流量表!B57+利润表!B22)*100/利润表!B7</f>
        <v>-15.1510927953109</v>
      </c>
      <c r="D36" s="608">
        <v>10.2</v>
      </c>
      <c r="E36" s="608">
        <v>8.1</v>
      </c>
      <c r="F36" s="608">
        <v>6.3</v>
      </c>
      <c r="G36" s="608">
        <v>9.3</v>
      </c>
      <c r="H36" s="608">
        <v>10.2</v>
      </c>
      <c r="I36" s="608">
        <v>4.3</v>
      </c>
      <c r="J36" s="608">
        <v>5</v>
      </c>
      <c r="K36" s="608">
        <v>25.8</v>
      </c>
      <c r="L36" s="608">
        <v>4.8</v>
      </c>
      <c r="M36" s="608">
        <v>15.2</v>
      </c>
      <c r="N36" s="608">
        <v>16.6</v>
      </c>
      <c r="O36" s="608">
        <v>12.4</v>
      </c>
      <c r="P36" s="608">
        <v>8.1</v>
      </c>
      <c r="Q36" s="608">
        <v>5.3</v>
      </c>
    </row>
    <row r="37" spans="1:17">
      <c r="A37" s="613" t="s">
        <v>916</v>
      </c>
      <c r="B37" s="607" t="s">
        <v>917</v>
      </c>
      <c r="C37" s="121" t="e">
        <f>(资产负债表!E36-资产负债表!F36)*100/资产负债表!F36</f>
        <v>#DIV/0!</v>
      </c>
      <c r="D37" s="608">
        <v>8.9</v>
      </c>
      <c r="E37" s="608">
        <v>6.7</v>
      </c>
      <c r="F37" s="608">
        <v>5.4</v>
      </c>
      <c r="G37" s="608">
        <v>7.3</v>
      </c>
      <c r="H37" s="608">
        <v>7.8</v>
      </c>
      <c r="I37" s="608">
        <v>5.8</v>
      </c>
      <c r="J37" s="608">
        <v>2.9</v>
      </c>
      <c r="K37" s="608">
        <v>2.4</v>
      </c>
      <c r="L37" s="608">
        <v>7.2</v>
      </c>
      <c r="M37" s="608">
        <v>2.5</v>
      </c>
      <c r="N37" s="608">
        <v>8.8</v>
      </c>
      <c r="O37" s="608">
        <v>4.9</v>
      </c>
      <c r="P37" s="608">
        <v>4.9</v>
      </c>
      <c r="Q37" s="608">
        <v>2.5</v>
      </c>
    </row>
  </sheetData>
  <mergeCells count="17">
    <mergeCell ref="A1:Q1"/>
    <mergeCell ref="A2:B2"/>
    <mergeCell ref="D2:Q2"/>
    <mergeCell ref="D3:G3"/>
    <mergeCell ref="A3:A4"/>
    <mergeCell ref="B3:B4"/>
    <mergeCell ref="C3:C4"/>
    <mergeCell ref="H3:H4"/>
    <mergeCell ref="I3:I4"/>
    <mergeCell ref="J3:J4"/>
    <mergeCell ref="K3:K4"/>
    <mergeCell ref="L3:L4"/>
    <mergeCell ref="M3:M4"/>
    <mergeCell ref="N3:N4"/>
    <mergeCell ref="O3:O4"/>
    <mergeCell ref="P3:P4"/>
    <mergeCell ref="Q3:Q4"/>
  </mergeCells>
  <pageMargins left="0.75" right="0.75" top="1" bottom="1" header="0.509027777777778" footer="0.509027777777778"/>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dimension ref="A1:Q30"/>
  <sheetViews>
    <sheetView zoomScale="90" zoomScaleNormal="90" workbookViewId="0">
      <selection activeCell="F12" sqref="F12"/>
    </sheetView>
  </sheetViews>
  <sheetFormatPr defaultColWidth="9" defaultRowHeight="17.25"/>
  <cols>
    <col min="1" max="1" width="12" style="553"/>
    <col min="2" max="6" width="10.625" style="553" customWidth="1"/>
    <col min="7" max="7" width="8.625" style="553" customWidth="1"/>
    <col min="8" max="8" width="12.5" style="553" customWidth="1"/>
    <col min="9" max="16384" width="9" style="553"/>
  </cols>
  <sheetData>
    <row r="1" ht="28.5" customHeight="1" spans="1:17">
      <c r="A1" s="285" t="s">
        <v>918</v>
      </c>
      <c r="B1" s="285"/>
      <c r="C1" s="285"/>
      <c r="D1" s="285"/>
      <c r="E1" s="285"/>
      <c r="F1" s="285"/>
      <c r="G1" s="285"/>
      <c r="H1" s="285"/>
      <c r="I1" s="590" t="s">
        <v>919</v>
      </c>
      <c r="J1" s="590"/>
      <c r="K1" s="590"/>
      <c r="L1" s="590"/>
      <c r="M1" s="590"/>
      <c r="N1" s="590"/>
      <c r="O1" s="590"/>
      <c r="P1" s="590"/>
      <c r="Q1" s="590"/>
    </row>
    <row r="2" s="527" customFormat="1" ht="20.1" customHeight="1" spans="1:8">
      <c r="A2" s="568"/>
      <c r="B2" s="528"/>
      <c r="C2" s="528"/>
      <c r="D2" s="338" t="s">
        <v>920</v>
      </c>
      <c r="E2" s="338"/>
      <c r="F2" s="528"/>
      <c r="G2" s="338" t="s">
        <v>198</v>
      </c>
      <c r="H2" s="338"/>
    </row>
    <row r="3" s="567" customFormat="1" ht="21.95" customHeight="1" spans="1:17">
      <c r="A3" s="471" t="s">
        <v>921</v>
      </c>
      <c r="B3" s="471" t="s">
        <v>726</v>
      </c>
      <c r="C3" s="471" t="s">
        <v>727</v>
      </c>
      <c r="D3" s="471" t="s">
        <v>922</v>
      </c>
      <c r="E3" s="471" t="s">
        <v>528</v>
      </c>
      <c r="F3" s="471" t="s">
        <v>525</v>
      </c>
      <c r="G3" s="471" t="s">
        <v>923</v>
      </c>
      <c r="H3" s="471" t="s">
        <v>924</v>
      </c>
      <c r="I3" s="591"/>
      <c r="J3" s="591"/>
      <c r="K3" s="591"/>
      <c r="L3" s="591"/>
      <c r="M3" s="591"/>
      <c r="N3" s="591"/>
      <c r="O3" s="591"/>
      <c r="P3" s="591"/>
      <c r="Q3" s="591"/>
    </row>
    <row r="4" s="527" customFormat="1" ht="21.95" customHeight="1" spans="1:17">
      <c r="A4" s="569" t="s">
        <v>925</v>
      </c>
      <c r="B4" s="570">
        <f>资产负债表!B14</f>
        <v>6353</v>
      </c>
      <c r="C4" s="570">
        <f>资产负债表!C14</f>
        <v>6666</v>
      </c>
      <c r="D4" s="570">
        <f t="shared" ref="D4:D8" si="0">(C4+B4)/2</f>
        <v>6509.5</v>
      </c>
      <c r="E4" s="570">
        <f>利润表!C6</f>
        <v>34441</v>
      </c>
      <c r="F4" s="570">
        <f>利润表!C5</f>
        <v>160000</v>
      </c>
      <c r="G4" s="570">
        <f t="shared" ref="G4:G7" si="1">IF(D4=0,0,E4/D4)</f>
        <v>5.29088255626392</v>
      </c>
      <c r="H4" s="570">
        <f t="shared" ref="H4:H8" si="2">IF(G4=0,0,365/G4)</f>
        <v>68.9866002729305</v>
      </c>
      <c r="I4" s="592" t="s">
        <v>926</v>
      </c>
      <c r="J4" s="592"/>
      <c r="K4" s="592"/>
      <c r="L4" s="592"/>
      <c r="M4" s="592"/>
      <c r="N4" s="592"/>
      <c r="O4" s="592"/>
      <c r="P4" s="592"/>
      <c r="Q4" s="592"/>
    </row>
    <row r="5" s="527" customFormat="1" ht="21.95" customHeight="1" spans="1:17">
      <c r="A5" s="569" t="s">
        <v>105</v>
      </c>
      <c r="B5" s="570">
        <f>资产负债表!B9</f>
        <v>522445</v>
      </c>
      <c r="C5" s="570">
        <f>资产负债表!C9</f>
        <v>555555</v>
      </c>
      <c r="D5" s="570">
        <f t="shared" si="0"/>
        <v>539000</v>
      </c>
      <c r="E5" s="570">
        <f t="shared" ref="E5:E8" si="3">$E$4</f>
        <v>34441</v>
      </c>
      <c r="F5" s="570">
        <f t="shared" ref="F5:F8" si="4">$F$4</f>
        <v>160000</v>
      </c>
      <c r="G5" s="570">
        <f>IF(D5=0,0,F5/D5)</f>
        <v>0.296846011131725</v>
      </c>
      <c r="H5" s="570">
        <f t="shared" si="2"/>
        <v>1229.59375</v>
      </c>
      <c r="I5" s="592" t="s">
        <v>927</v>
      </c>
      <c r="J5" s="592"/>
      <c r="K5" s="592"/>
      <c r="L5" s="592"/>
      <c r="M5" s="592"/>
      <c r="N5" s="592"/>
      <c r="O5" s="592"/>
      <c r="P5" s="592"/>
      <c r="Q5" s="592"/>
    </row>
    <row r="6" s="527" customFormat="1" ht="21.95" customHeight="1" spans="1:17">
      <c r="A6" s="569" t="s">
        <v>106</v>
      </c>
      <c r="B6" s="570">
        <f>资产负债表!E9</f>
        <v>13313</v>
      </c>
      <c r="C6" s="570">
        <f>资产负债表!F9</f>
        <v>113444</v>
      </c>
      <c r="D6" s="570">
        <f t="shared" si="0"/>
        <v>63378.5</v>
      </c>
      <c r="E6" s="570">
        <f t="shared" si="3"/>
        <v>34441</v>
      </c>
      <c r="F6" s="570">
        <f t="shared" si="4"/>
        <v>160000</v>
      </c>
      <c r="G6" s="570">
        <f t="shared" si="1"/>
        <v>0.543417720520366</v>
      </c>
      <c r="H6" s="570">
        <f t="shared" si="2"/>
        <v>671.674820707877</v>
      </c>
      <c r="I6" s="591" t="s">
        <v>928</v>
      </c>
      <c r="J6" s="591"/>
      <c r="K6" s="591"/>
      <c r="L6" s="591"/>
      <c r="M6" s="591"/>
      <c r="N6" s="591"/>
      <c r="O6" s="591"/>
      <c r="P6" s="591"/>
      <c r="Q6" s="591"/>
    </row>
    <row r="7" s="527" customFormat="1" ht="21.95" customHeight="1" spans="1:17">
      <c r="A7" s="569" t="s">
        <v>107</v>
      </c>
      <c r="B7" s="570">
        <f>资产负债表!B10</f>
        <v>521</v>
      </c>
      <c r="C7" s="570">
        <f>资产负债表!C10</f>
        <v>6777</v>
      </c>
      <c r="D7" s="570">
        <f t="shared" si="0"/>
        <v>3649</v>
      </c>
      <c r="E7" s="570">
        <f t="shared" si="3"/>
        <v>34441</v>
      </c>
      <c r="F7" s="570">
        <f t="shared" si="4"/>
        <v>160000</v>
      </c>
      <c r="G7" s="570">
        <f t="shared" si="1"/>
        <v>9.43847629487531</v>
      </c>
      <c r="H7" s="570">
        <f t="shared" si="2"/>
        <v>38.6714961818763</v>
      </c>
      <c r="I7" s="592" t="s">
        <v>929</v>
      </c>
      <c r="J7" s="592"/>
      <c r="K7" s="592"/>
      <c r="L7" s="592"/>
      <c r="M7" s="592"/>
      <c r="N7" s="592"/>
      <c r="O7" s="592"/>
      <c r="P7" s="592"/>
      <c r="Q7" s="592"/>
    </row>
    <row r="8" s="527" customFormat="1" ht="21.95" customHeight="1" spans="1:17">
      <c r="A8" s="569" t="s">
        <v>108</v>
      </c>
      <c r="B8" s="570">
        <f>资产负债表!E10</f>
        <v>1333</v>
      </c>
      <c r="C8" s="570">
        <f>资产负债表!F10</f>
        <v>0</v>
      </c>
      <c r="D8" s="570">
        <f t="shared" si="0"/>
        <v>666.5</v>
      </c>
      <c r="E8" s="570">
        <f t="shared" si="3"/>
        <v>34441</v>
      </c>
      <c r="F8" s="570">
        <f t="shared" si="4"/>
        <v>160000</v>
      </c>
      <c r="G8" s="570">
        <f>IF(D8=0,0,F8/D8)</f>
        <v>240.060015003751</v>
      </c>
      <c r="H8" s="570">
        <f t="shared" si="2"/>
        <v>1.520453125</v>
      </c>
      <c r="I8" s="592" t="s">
        <v>930</v>
      </c>
      <c r="J8" s="592"/>
      <c r="K8" s="592"/>
      <c r="L8" s="592"/>
      <c r="M8" s="592"/>
      <c r="N8" s="592"/>
      <c r="O8" s="592"/>
      <c r="P8" s="592"/>
      <c r="Q8" s="592"/>
    </row>
    <row r="9" s="527" customFormat="1" ht="21.95" customHeight="1" spans="1:17">
      <c r="A9" s="569" t="s">
        <v>537</v>
      </c>
      <c r="B9" s="570">
        <f>利润表!B21</f>
        <v>158893</v>
      </c>
      <c r="C9" s="570">
        <f>利润表!C21</f>
        <v>57080</v>
      </c>
      <c r="D9" s="571" t="s">
        <v>931</v>
      </c>
      <c r="E9" s="571" t="s">
        <v>931</v>
      </c>
      <c r="F9" s="571" t="s">
        <v>931</v>
      </c>
      <c r="G9" s="571" t="s">
        <v>931</v>
      </c>
      <c r="H9" s="571" t="s">
        <v>931</v>
      </c>
      <c r="I9" s="592" t="s">
        <v>932</v>
      </c>
      <c r="J9" s="592"/>
      <c r="K9" s="592"/>
      <c r="L9" s="592"/>
      <c r="M9" s="592"/>
      <c r="N9" s="592"/>
      <c r="O9" s="592"/>
      <c r="P9" s="592"/>
      <c r="Q9" s="592"/>
    </row>
    <row r="10" ht="21.95" customHeight="1" spans="9:17">
      <c r="I10" s="593" t="s">
        <v>933</v>
      </c>
      <c r="J10" s="593"/>
      <c r="K10" s="593"/>
      <c r="L10" s="593"/>
      <c r="M10" s="593"/>
      <c r="N10" s="593"/>
      <c r="O10" s="593"/>
      <c r="P10" s="593"/>
      <c r="Q10" s="593"/>
    </row>
    <row r="11" s="527" customFormat="1" ht="21.95" customHeight="1" spans="1:17">
      <c r="A11" s="572" t="s">
        <v>934</v>
      </c>
      <c r="B11" s="573"/>
      <c r="C11" s="574">
        <f>IF((H4+H5+H7-H6-H8)=0,0,365/(H4+H5+H7-H6-H8))</f>
        <v>0.549651964980711</v>
      </c>
      <c r="D11" s="575"/>
      <c r="E11" s="575"/>
      <c r="I11" s="592" t="s">
        <v>935</v>
      </c>
      <c r="J11" s="592"/>
      <c r="K11" s="592"/>
      <c r="L11" s="592"/>
      <c r="M11" s="592"/>
      <c r="N11" s="592"/>
      <c r="O11" s="592"/>
      <c r="P11" s="592"/>
      <c r="Q11" s="592"/>
    </row>
    <row r="12" s="527" customFormat="1" ht="21.95" customHeight="1" spans="1:17">
      <c r="A12" s="569" t="s">
        <v>936</v>
      </c>
      <c r="B12" s="569"/>
      <c r="C12" s="576">
        <f>H4+H5+H7-H6-H8</f>
        <v>664.05657262193</v>
      </c>
      <c r="D12" s="575"/>
      <c r="E12" s="575"/>
      <c r="F12" s="575"/>
      <c r="G12" s="575"/>
      <c r="H12" s="575"/>
      <c r="I12" s="592" t="s">
        <v>937</v>
      </c>
      <c r="J12" s="592"/>
      <c r="K12" s="592"/>
      <c r="L12" s="592"/>
      <c r="M12" s="592"/>
      <c r="N12" s="592"/>
      <c r="O12" s="592"/>
      <c r="P12" s="592"/>
      <c r="Q12" s="592"/>
    </row>
    <row r="13" s="567" customFormat="1" ht="33" spans="1:17">
      <c r="A13" s="577" t="s">
        <v>938</v>
      </c>
      <c r="B13" s="577" t="s">
        <v>939</v>
      </c>
      <c r="C13" s="577" t="s">
        <v>940</v>
      </c>
      <c r="D13" s="577" t="s">
        <v>941</v>
      </c>
      <c r="E13" s="578"/>
      <c r="F13" s="578"/>
      <c r="G13" s="578"/>
      <c r="H13" s="578"/>
      <c r="I13" s="591" t="s">
        <v>942</v>
      </c>
      <c r="J13" s="591"/>
      <c r="K13" s="591"/>
      <c r="L13" s="591"/>
      <c r="M13" s="591"/>
      <c r="N13" s="591"/>
      <c r="O13" s="591"/>
      <c r="P13" s="591"/>
      <c r="Q13" s="591"/>
    </row>
    <row r="14" s="567" customFormat="1" ht="21.95" customHeight="1" spans="1:17">
      <c r="A14" s="570">
        <f>F4</f>
        <v>160000</v>
      </c>
      <c r="B14" s="579">
        <f>B9/A14</f>
        <v>0.99308125</v>
      </c>
      <c r="C14" s="580">
        <v>0.1</v>
      </c>
      <c r="D14" s="570">
        <f>C11</f>
        <v>0.549651964980711</v>
      </c>
      <c r="I14" s="592" t="s">
        <v>943</v>
      </c>
      <c r="J14" s="592"/>
      <c r="K14" s="592"/>
      <c r="L14" s="592"/>
      <c r="M14" s="592"/>
      <c r="N14" s="592"/>
      <c r="O14" s="592"/>
      <c r="P14" s="592"/>
      <c r="Q14" s="592"/>
    </row>
    <row r="15" s="567" customFormat="1" ht="21.95" customHeight="1" spans="1:17">
      <c r="A15" s="581"/>
      <c r="B15" s="581"/>
      <c r="C15" s="581"/>
      <c r="D15" s="581"/>
      <c r="E15" s="582"/>
      <c r="F15" s="582"/>
      <c r="G15" s="582"/>
      <c r="H15" s="582"/>
      <c r="I15" s="592" t="s">
        <v>944</v>
      </c>
      <c r="J15" s="592"/>
      <c r="K15" s="592"/>
      <c r="L15" s="592"/>
      <c r="M15" s="592"/>
      <c r="N15" s="592"/>
      <c r="O15" s="592"/>
      <c r="P15" s="592"/>
      <c r="Q15" s="592"/>
    </row>
    <row r="16" s="527" customFormat="1" ht="21.95" customHeight="1" spans="1:17">
      <c r="A16" s="471" t="s">
        <v>945</v>
      </c>
      <c r="B16" s="559"/>
      <c r="C16" s="570">
        <f>IF(D14=0,0,(A14*(1-B14)*(1+C14))/D14)</f>
        <v>2215.40188625129</v>
      </c>
      <c r="D16" s="575"/>
      <c r="E16" s="575"/>
      <c r="F16" s="575"/>
      <c r="G16" s="575"/>
      <c r="H16" s="575"/>
      <c r="I16" s="592" t="s">
        <v>946</v>
      </c>
      <c r="J16" s="592"/>
      <c r="K16" s="592"/>
      <c r="L16" s="592"/>
      <c r="M16" s="592"/>
      <c r="N16" s="592"/>
      <c r="O16" s="592"/>
      <c r="P16" s="592"/>
      <c r="Q16" s="592"/>
    </row>
    <row r="17" s="527" customFormat="1" ht="21.95" customHeight="1" spans="1:17">
      <c r="A17" s="583"/>
      <c r="B17" s="583"/>
      <c r="C17" s="584"/>
      <c r="D17" s="585"/>
      <c r="E17" s="585"/>
      <c r="F17" s="585"/>
      <c r="G17" s="585"/>
      <c r="H17" s="585"/>
      <c r="I17" s="594" t="s">
        <v>947</v>
      </c>
      <c r="J17" s="591"/>
      <c r="K17" s="591"/>
      <c r="L17" s="591"/>
      <c r="M17" s="591"/>
      <c r="N17" s="591"/>
      <c r="O17" s="591"/>
      <c r="P17" s="591"/>
      <c r="Q17" s="591"/>
    </row>
    <row r="18" s="527" customFormat="1" ht="21.95" customHeight="1" spans="1:17">
      <c r="A18" s="471" t="s">
        <v>948</v>
      </c>
      <c r="B18" s="471"/>
      <c r="C18" s="570">
        <f>A20-B20-C20-D20</f>
        <v>2215.40188625129</v>
      </c>
      <c r="D18" s="575"/>
      <c r="E18" s="575"/>
      <c r="F18" s="575"/>
      <c r="G18" s="575"/>
      <c r="H18" s="575"/>
      <c r="I18" s="592" t="s">
        <v>949</v>
      </c>
      <c r="J18" s="592"/>
      <c r="K18" s="592"/>
      <c r="L18" s="592"/>
      <c r="M18" s="592"/>
      <c r="N18" s="592"/>
      <c r="O18" s="592"/>
      <c r="P18" s="592"/>
      <c r="Q18" s="592"/>
    </row>
    <row r="19" s="567" customFormat="1" ht="33" spans="1:17">
      <c r="A19" s="586" t="s">
        <v>950</v>
      </c>
      <c r="B19" s="586" t="s">
        <v>951</v>
      </c>
      <c r="C19" s="586" t="s">
        <v>952</v>
      </c>
      <c r="D19" s="577" t="s">
        <v>953</v>
      </c>
      <c r="E19" s="587"/>
      <c r="I19" s="592" t="s">
        <v>954</v>
      </c>
      <c r="J19" s="592"/>
      <c r="K19" s="592"/>
      <c r="L19" s="592"/>
      <c r="M19" s="592"/>
      <c r="N19" s="592"/>
      <c r="O19" s="592"/>
      <c r="P19" s="592"/>
      <c r="Q19" s="592"/>
    </row>
    <row r="20" s="567" customFormat="1" ht="21.95" customHeight="1" spans="1:17">
      <c r="A20" s="570">
        <f>C16</f>
        <v>2215.40188625129</v>
      </c>
      <c r="B20" s="478"/>
      <c r="C20" s="478"/>
      <c r="D20" s="478"/>
      <c r="I20" s="595" t="s">
        <v>955</v>
      </c>
      <c r="J20" s="595"/>
      <c r="K20" s="595"/>
      <c r="L20" s="595"/>
      <c r="M20" s="595"/>
      <c r="N20" s="595"/>
      <c r="O20" s="595"/>
      <c r="P20" s="595"/>
      <c r="Q20" s="595"/>
    </row>
    <row r="21" ht="21.95" customHeight="1" spans="9:17">
      <c r="I21" s="596" t="s">
        <v>956</v>
      </c>
      <c r="J21" s="597"/>
      <c r="K21" s="597"/>
      <c r="L21" s="597"/>
      <c r="M21" s="597"/>
      <c r="N21" s="597"/>
      <c r="O21" s="597"/>
      <c r="P21" s="597"/>
      <c r="Q21" s="597"/>
    </row>
    <row r="22" ht="21.95" customHeight="1" spans="1:17">
      <c r="A22" s="588" t="s">
        <v>957</v>
      </c>
      <c r="B22" s="588"/>
      <c r="C22" s="588"/>
      <c r="D22" s="588"/>
      <c r="E22" s="588"/>
      <c r="F22" s="588"/>
      <c r="G22" s="588"/>
      <c r="H22" s="588"/>
      <c r="I22" s="598"/>
      <c r="J22" s="598"/>
      <c r="K22" s="598"/>
      <c r="L22" s="598"/>
      <c r="M22" s="598"/>
      <c r="N22" s="598"/>
      <c r="O22" s="598"/>
      <c r="P22" s="598"/>
      <c r="Q22" s="598"/>
    </row>
    <row r="23" ht="21.95" customHeight="1" spans="9:17">
      <c r="I23" s="598"/>
      <c r="J23" s="598"/>
      <c r="K23" s="598"/>
      <c r="L23" s="598"/>
      <c r="M23" s="598"/>
      <c r="N23" s="598"/>
      <c r="O23" s="598"/>
      <c r="P23" s="598"/>
      <c r="Q23" s="598"/>
    </row>
    <row r="24" ht="21.95" customHeight="1" spans="1:17">
      <c r="A24" s="551" t="s">
        <v>958</v>
      </c>
      <c r="I24" s="597"/>
      <c r="J24" s="597"/>
      <c r="K24" s="597"/>
      <c r="L24" s="597"/>
      <c r="M24" s="597"/>
      <c r="N24" s="597"/>
      <c r="O24" s="597"/>
      <c r="P24" s="597"/>
      <c r="Q24" s="597"/>
    </row>
    <row r="25" ht="18" spans="1:17">
      <c r="A25" s="589" t="s">
        <v>959</v>
      </c>
      <c r="B25" s="589"/>
      <c r="C25" s="589"/>
      <c r="D25" s="589"/>
      <c r="E25" s="589"/>
      <c r="F25" s="589"/>
      <c r="G25" s="589"/>
      <c r="H25" s="589"/>
      <c r="I25" s="597"/>
      <c r="J25" s="597"/>
      <c r="K25" s="597"/>
      <c r="L25" s="597"/>
      <c r="M25" s="597"/>
      <c r="N25" s="597"/>
      <c r="O25" s="597"/>
      <c r="P25" s="597"/>
      <c r="Q25" s="597"/>
    </row>
    <row r="26" ht="21.95" customHeight="1" spans="1:17">
      <c r="A26" s="551" t="s">
        <v>960</v>
      </c>
      <c r="B26" s="551"/>
      <c r="C26" s="551"/>
      <c r="D26" s="551"/>
      <c r="E26" s="551"/>
      <c r="F26" s="551"/>
      <c r="G26" s="551"/>
      <c r="H26" s="551"/>
      <c r="I26" s="597"/>
      <c r="J26" s="597"/>
      <c r="K26" s="597"/>
      <c r="L26" s="597"/>
      <c r="M26" s="597"/>
      <c r="N26" s="597"/>
      <c r="O26" s="597"/>
      <c r="P26" s="597"/>
      <c r="Q26" s="597"/>
    </row>
    <row r="27" ht="18" spans="1:17">
      <c r="A27" s="589" t="s">
        <v>961</v>
      </c>
      <c r="B27" s="589"/>
      <c r="C27" s="589"/>
      <c r="D27" s="589"/>
      <c r="E27" s="589"/>
      <c r="F27" s="589"/>
      <c r="G27" s="589"/>
      <c r="H27" s="589"/>
      <c r="I27" s="597"/>
      <c r="J27" s="597"/>
      <c r="K27" s="597"/>
      <c r="L27" s="597"/>
      <c r="M27" s="597"/>
      <c r="N27" s="597"/>
      <c r="O27" s="597"/>
      <c r="P27" s="597"/>
      <c r="Q27" s="597"/>
    </row>
    <row r="28" ht="21.95" customHeight="1"/>
    <row r="29" ht="21.95" customHeight="1"/>
    <row r="30" ht="21.95" customHeight="1"/>
  </sheetData>
  <mergeCells count="38">
    <mergeCell ref="A1:H1"/>
    <mergeCell ref="I1:Q1"/>
    <mergeCell ref="D2:E2"/>
    <mergeCell ref="G2:H2"/>
    <mergeCell ref="I2:Q2"/>
    <mergeCell ref="I3:Q3"/>
    <mergeCell ref="I4:Q4"/>
    <mergeCell ref="I5:Q5"/>
    <mergeCell ref="I6:Q6"/>
    <mergeCell ref="I7:Q7"/>
    <mergeCell ref="I8:Q8"/>
    <mergeCell ref="I9:Q9"/>
    <mergeCell ref="A10:H10"/>
    <mergeCell ref="I10:Q10"/>
    <mergeCell ref="A11:B11"/>
    <mergeCell ref="I11:Q11"/>
    <mergeCell ref="A12:B12"/>
    <mergeCell ref="I12:Q12"/>
    <mergeCell ref="I13:Q13"/>
    <mergeCell ref="I14:Q14"/>
    <mergeCell ref="A15:H15"/>
    <mergeCell ref="I15:Q15"/>
    <mergeCell ref="A16:B16"/>
    <mergeCell ref="I16:Q16"/>
    <mergeCell ref="A17:H17"/>
    <mergeCell ref="I17:Q17"/>
    <mergeCell ref="A18:B18"/>
    <mergeCell ref="I18:Q18"/>
    <mergeCell ref="I19:Q19"/>
    <mergeCell ref="I20:Q20"/>
    <mergeCell ref="A22:H22"/>
    <mergeCell ref="A25:H25"/>
    <mergeCell ref="A27:H27"/>
    <mergeCell ref="A28:H28"/>
    <mergeCell ref="I28:Q28"/>
    <mergeCell ref="A29:H29"/>
    <mergeCell ref="I29:Q29"/>
    <mergeCell ref="I21:Q27"/>
  </mergeCells>
  <printOptions horizontalCentered="1"/>
  <pageMargins left="0.55" right="0.55" top="0.979166666666667" bottom="0.979166666666667" header="0.509027777777778" footer="0.509027777777778"/>
  <pageSetup paperSize="9" orientation="portrait"/>
  <headerFooter alignWithMargins="0" scaleWithDoc="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H40"/>
  <sheetViews>
    <sheetView zoomScale="90" zoomScaleNormal="90" workbookViewId="0">
      <selection activeCell="B19" sqref="B19"/>
    </sheetView>
  </sheetViews>
  <sheetFormatPr defaultColWidth="9" defaultRowHeight="17.25" outlineLevelCol="7"/>
  <cols>
    <col min="1" max="1" width="23.75" style="552" customWidth="1"/>
    <col min="2" max="5" width="23.75" style="553" customWidth="1"/>
    <col min="6" max="6" width="11.5" style="553"/>
    <col min="7" max="7" width="9" style="553"/>
    <col min="8" max="8" width="10.375" style="553"/>
    <col min="9" max="16384" width="9" style="553"/>
  </cols>
  <sheetData>
    <row r="1" ht="27.95" customHeight="1" spans="1:5">
      <c r="A1" s="285" t="s">
        <v>962</v>
      </c>
      <c r="B1" s="285"/>
      <c r="C1" s="285"/>
      <c r="D1" s="285"/>
      <c r="E1" s="285"/>
    </row>
    <row r="2" s="551" customFormat="1" ht="20.1" customHeight="1" spans="1:5">
      <c r="A2" s="554"/>
      <c r="B2" s="554"/>
      <c r="C2" s="555" t="str">
        <f>资产负债表!C3</f>
        <v>年    月    日</v>
      </c>
      <c r="D2" s="555"/>
      <c r="E2" s="487" t="s">
        <v>605</v>
      </c>
    </row>
    <row r="3" ht="20.1" customHeight="1" spans="1:5">
      <c r="A3" s="471" t="s">
        <v>963</v>
      </c>
      <c r="B3" s="556"/>
      <c r="C3" s="471" t="s">
        <v>964</v>
      </c>
      <c r="D3" s="557"/>
      <c r="E3" s="558"/>
    </row>
    <row r="4" ht="20.1" customHeight="1" spans="1:5">
      <c r="A4" s="471" t="s">
        <v>965</v>
      </c>
      <c r="B4" s="471" t="s">
        <v>966</v>
      </c>
      <c r="C4" s="471" t="s">
        <v>967</v>
      </c>
      <c r="D4" s="559" t="s">
        <v>968</v>
      </c>
      <c r="E4" s="471" t="s">
        <v>969</v>
      </c>
    </row>
    <row r="5" ht="20.1" customHeight="1" spans="1:5">
      <c r="A5" s="471" t="s">
        <v>970</v>
      </c>
      <c r="B5" s="560"/>
      <c r="C5" s="560"/>
      <c r="D5" s="560"/>
      <c r="E5" s="560"/>
    </row>
    <row r="6" ht="20.1" customHeight="1" spans="1:5">
      <c r="A6" s="471" t="s">
        <v>971</v>
      </c>
      <c r="B6" s="560"/>
      <c r="C6" s="560"/>
      <c r="D6" s="560"/>
      <c r="E6" s="560"/>
    </row>
    <row r="7" ht="20.1" customHeight="1" spans="1:5">
      <c r="A7" s="471" t="s">
        <v>972</v>
      </c>
      <c r="B7" s="560"/>
      <c r="C7" s="560"/>
      <c r="D7" s="560"/>
      <c r="E7" s="560"/>
    </row>
    <row r="8" ht="20.1" customHeight="1" spans="1:5">
      <c r="A8" s="471" t="s">
        <v>973</v>
      </c>
      <c r="B8" s="560"/>
      <c r="C8" s="560"/>
      <c r="D8" s="560"/>
      <c r="E8" s="560"/>
    </row>
    <row r="9" ht="20.1" customHeight="1" spans="1:5">
      <c r="A9" s="471" t="s">
        <v>974</v>
      </c>
      <c r="B9" s="560"/>
      <c r="C9" s="560"/>
      <c r="D9" s="560"/>
      <c r="E9" s="560"/>
    </row>
    <row r="10" ht="20.1" customHeight="1" spans="1:5">
      <c r="A10" s="471" t="s">
        <v>975</v>
      </c>
      <c r="B10" s="560"/>
      <c r="C10" s="560"/>
      <c r="D10" s="560"/>
      <c r="E10" s="560"/>
    </row>
    <row r="11" ht="20.1" customHeight="1" spans="1:5">
      <c r="A11" s="471" t="s">
        <v>976</v>
      </c>
      <c r="B11" s="560"/>
      <c r="C11" s="560"/>
      <c r="D11" s="560"/>
      <c r="E11" s="560"/>
    </row>
    <row r="12" ht="20.1" customHeight="1" spans="1:5">
      <c r="A12" s="471" t="s">
        <v>977</v>
      </c>
      <c r="B12" s="560"/>
      <c r="C12" s="560"/>
      <c r="D12" s="560"/>
      <c r="E12" s="560"/>
    </row>
    <row r="13" ht="20.1" customHeight="1" spans="1:5">
      <c r="A13" s="471" t="s">
        <v>978</v>
      </c>
      <c r="B13" s="560"/>
      <c r="C13" s="560"/>
      <c r="D13" s="560"/>
      <c r="E13" s="560"/>
    </row>
    <row r="14" ht="20.1" customHeight="1" spans="1:5">
      <c r="A14" s="471" t="s">
        <v>979</v>
      </c>
      <c r="B14" s="560"/>
      <c r="C14" s="560"/>
      <c r="D14" s="560"/>
      <c r="E14" s="560"/>
    </row>
    <row r="15" ht="20.1" customHeight="1" spans="1:5">
      <c r="A15" s="471" t="s">
        <v>980</v>
      </c>
      <c r="B15" s="560"/>
      <c r="C15" s="560"/>
      <c r="D15" s="560"/>
      <c r="E15" s="560"/>
    </row>
    <row r="16" ht="20.1" customHeight="1" spans="1:5">
      <c r="A16" s="471" t="s">
        <v>981</v>
      </c>
      <c r="B16" s="561"/>
      <c r="C16" s="561"/>
      <c r="D16" s="561"/>
      <c r="E16" s="561"/>
    </row>
    <row r="17" ht="20.1" customHeight="1" spans="1:8">
      <c r="A17" s="471" t="s">
        <v>982</v>
      </c>
      <c r="B17" s="562">
        <f t="shared" ref="B17:F17" si="0">NPV($B$3,B6:B15)+B5</f>
        <v>0</v>
      </c>
      <c r="C17" s="562">
        <f t="shared" si="0"/>
        <v>0</v>
      </c>
      <c r="D17" s="562">
        <f t="shared" si="0"/>
        <v>0</v>
      </c>
      <c r="E17" s="562">
        <f t="shared" si="0"/>
        <v>0</v>
      </c>
      <c r="F17" s="563">
        <f t="shared" si="0"/>
        <v>0</v>
      </c>
      <c r="G17" s="564"/>
      <c r="H17" s="564"/>
    </row>
    <row r="18" ht="20.1" customHeight="1" spans="1:5">
      <c r="A18" s="471" t="s">
        <v>983</v>
      </c>
      <c r="B18" s="565" t="e">
        <f t="shared" ref="B18:E18" si="1">IRR(B5:B15)</f>
        <v>#NUM!</v>
      </c>
      <c r="C18" s="565" t="e">
        <f t="shared" si="1"/>
        <v>#NUM!</v>
      </c>
      <c r="D18" s="565" t="e">
        <f t="shared" si="1"/>
        <v>#NUM!</v>
      </c>
      <c r="E18" s="565" t="e">
        <f t="shared" si="1"/>
        <v>#NUM!</v>
      </c>
    </row>
    <row r="19" ht="20.1" customHeight="1" spans="1:5">
      <c r="A19" s="471" t="s">
        <v>984</v>
      </c>
      <c r="B19" s="565" t="e">
        <f t="shared" ref="B19:E19" si="2">NPV($B$3,B6:B15)/-B5</f>
        <v>#DIV/0!</v>
      </c>
      <c r="C19" s="565" t="e">
        <f t="shared" si="2"/>
        <v>#DIV/0!</v>
      </c>
      <c r="D19" s="565" t="e">
        <f t="shared" si="2"/>
        <v>#DIV/0!</v>
      </c>
      <c r="E19" s="565" t="e">
        <f t="shared" si="2"/>
        <v>#DIV/0!</v>
      </c>
    </row>
    <row r="20" ht="20.1" customHeight="1" spans="1:5">
      <c r="A20" s="471" t="s">
        <v>985</v>
      </c>
      <c r="B20" s="565" t="e">
        <f>MIRR(B5:B15,B3,D3)</f>
        <v>#DIV/0!</v>
      </c>
      <c r="C20" s="565" t="e">
        <f>MIRR(C5:C15,B3,D3)</f>
        <v>#DIV/0!</v>
      </c>
      <c r="D20" s="565" t="e">
        <f>MIRR(D5:D15,B3,D3)</f>
        <v>#DIV/0!</v>
      </c>
      <c r="E20" s="565" t="e">
        <f>MIRR(E5:E15,B3,D3)</f>
        <v>#DIV/0!</v>
      </c>
    </row>
    <row r="21" ht="20.1" customHeight="1" spans="1:5">
      <c r="A21" s="471"/>
      <c r="B21" s="471"/>
      <c r="C21" s="471"/>
      <c r="D21" s="471"/>
      <c r="E21" s="471"/>
    </row>
    <row r="22" ht="20.1" customHeight="1" spans="1:5">
      <c r="A22" s="471" t="s">
        <v>986</v>
      </c>
      <c r="B22" s="474"/>
      <c r="C22" s="474"/>
      <c r="D22" s="474"/>
      <c r="E22" s="474"/>
    </row>
    <row r="23" ht="20.1" customHeight="1" spans="1:5">
      <c r="A23" s="471"/>
      <c r="B23" s="474"/>
      <c r="C23" s="474"/>
      <c r="D23" s="474"/>
      <c r="E23" s="474"/>
    </row>
    <row r="24" ht="20.1" customHeight="1" spans="1:5">
      <c r="A24" s="566" t="s">
        <v>987</v>
      </c>
      <c r="B24" s="566"/>
      <c r="C24" s="566"/>
      <c r="D24" s="566"/>
      <c r="E24" s="566"/>
    </row>
    <row r="25" ht="20.1" customHeight="1" spans="1:5">
      <c r="A25" s="566" t="s">
        <v>988</v>
      </c>
      <c r="B25" s="566"/>
      <c r="C25" s="566"/>
      <c r="D25" s="566"/>
      <c r="E25" s="566"/>
    </row>
    <row r="26" ht="20.1" customHeight="1" spans="1:5">
      <c r="A26" s="566" t="s">
        <v>989</v>
      </c>
      <c r="B26" s="566"/>
      <c r="C26" s="566"/>
      <c r="D26" s="566"/>
      <c r="E26" s="566"/>
    </row>
    <row r="27" ht="20.1" customHeight="1" spans="1:5">
      <c r="A27" s="566" t="s">
        <v>990</v>
      </c>
      <c r="B27" s="566"/>
      <c r="C27" s="566"/>
      <c r="D27" s="566"/>
      <c r="E27" s="566"/>
    </row>
    <row r="28" ht="20.1" customHeight="1" spans="1:5">
      <c r="A28" s="566" t="s">
        <v>991</v>
      </c>
      <c r="B28" s="566"/>
      <c r="C28" s="566"/>
      <c r="D28" s="566"/>
      <c r="E28" s="566"/>
    </row>
    <row r="29" ht="20.1" customHeight="1" spans="1:5">
      <c r="A29" s="566" t="s">
        <v>992</v>
      </c>
      <c r="B29" s="566"/>
      <c r="C29" s="566"/>
      <c r="D29" s="566"/>
      <c r="E29" s="566"/>
    </row>
    <row r="30" ht="16.5" spans="1:5">
      <c r="A30" s="567"/>
      <c r="B30" s="527"/>
      <c r="C30" s="527"/>
      <c r="D30" s="527"/>
      <c r="E30" s="527"/>
    </row>
    <row r="31" ht="16.5" spans="1:5">
      <c r="A31" s="567"/>
      <c r="B31" s="527"/>
      <c r="C31" s="527"/>
      <c r="D31" s="527"/>
      <c r="E31" s="527"/>
    </row>
    <row r="32" ht="16.5" spans="1:5">
      <c r="A32" s="567"/>
      <c r="B32" s="527"/>
      <c r="C32" s="527"/>
      <c r="D32" s="527"/>
      <c r="E32" s="527"/>
    </row>
    <row r="33" ht="16.5" spans="1:5">
      <c r="A33" s="567"/>
      <c r="B33" s="527"/>
      <c r="C33" s="527"/>
      <c r="D33" s="527"/>
      <c r="E33" s="527"/>
    </row>
    <row r="34" ht="16.5" spans="1:5">
      <c r="A34" s="567"/>
      <c r="B34" s="527"/>
      <c r="C34" s="527"/>
      <c r="D34" s="527"/>
      <c r="E34" s="527"/>
    </row>
    <row r="35" ht="16.5" spans="1:5">
      <c r="A35" s="567"/>
      <c r="B35" s="527"/>
      <c r="C35" s="527"/>
      <c r="D35" s="527"/>
      <c r="E35" s="527"/>
    </row>
    <row r="36" ht="16.5" spans="1:5">
      <c r="A36" s="567"/>
      <c r="B36" s="527"/>
      <c r="C36" s="527"/>
      <c r="D36" s="527"/>
      <c r="E36" s="527"/>
    </row>
    <row r="37" ht="16.5" spans="1:5">
      <c r="A37" s="567"/>
      <c r="B37" s="527"/>
      <c r="C37" s="527"/>
      <c r="D37" s="527"/>
      <c r="E37" s="527"/>
    </row>
    <row r="38" ht="16.5" spans="1:5">
      <c r="A38" s="567"/>
      <c r="B38" s="527"/>
      <c r="C38" s="527"/>
      <c r="D38" s="527"/>
      <c r="E38" s="527"/>
    </row>
    <row r="39" ht="16.5" spans="1:5">
      <c r="A39" s="567"/>
      <c r="B39" s="527"/>
      <c r="C39" s="527"/>
      <c r="D39" s="527"/>
      <c r="E39" s="527"/>
    </row>
    <row r="40" ht="16.5" spans="1:5">
      <c r="A40" s="567"/>
      <c r="B40" s="527"/>
      <c r="C40" s="527"/>
      <c r="D40" s="527"/>
      <c r="E40" s="527"/>
    </row>
  </sheetData>
  <mergeCells count="13">
    <mergeCell ref="A1:E1"/>
    <mergeCell ref="A2:B2"/>
    <mergeCell ref="C2:D2"/>
    <mergeCell ref="A21:E21"/>
    <mergeCell ref="B22:E22"/>
    <mergeCell ref="B23:E23"/>
    <mergeCell ref="A24:E24"/>
    <mergeCell ref="A25:E25"/>
    <mergeCell ref="A26:E26"/>
    <mergeCell ref="A27:E27"/>
    <mergeCell ref="A28:E28"/>
    <mergeCell ref="A29:E29"/>
    <mergeCell ref="A22:A23"/>
  </mergeCells>
  <printOptions horizontalCentered="1"/>
  <pageMargins left="0.55" right="0.55" top="0.979166666666667" bottom="0.979166666666667" header="0.509027777777778" footer="0.509027777777778"/>
  <pageSetup paperSize="256" orientation="portrait"/>
  <headerFooter alignWithMargins="0" scaleWithDoc="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dimension ref="A1:IV49"/>
  <sheetViews>
    <sheetView zoomScale="90" zoomScaleNormal="90" workbookViewId="0">
      <selection activeCell="C19" sqref="C19:C23"/>
    </sheetView>
  </sheetViews>
  <sheetFormatPr defaultColWidth="9" defaultRowHeight="16.5"/>
  <cols>
    <col min="1" max="6" width="24.125" style="484" customWidth="1"/>
    <col min="7" max="255" width="9" style="484"/>
    <col min="256" max="16384" width="9" style="527"/>
  </cols>
  <sheetData>
    <row r="1" ht="29.25" spans="1:6">
      <c r="A1" s="285" t="s">
        <v>993</v>
      </c>
      <c r="B1" s="285"/>
      <c r="C1" s="285"/>
      <c r="D1" s="285"/>
      <c r="E1" s="285"/>
      <c r="F1" s="285"/>
    </row>
    <row r="2" s="524" customFormat="1" spans="1:256">
      <c r="A2" s="528"/>
      <c r="B2" s="528"/>
      <c r="C2" s="529" t="s">
        <v>994</v>
      </c>
      <c r="D2" s="529"/>
      <c r="E2" s="338" t="s">
        <v>198</v>
      </c>
      <c r="F2" s="33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c r="BT2" s="528"/>
      <c r="BU2" s="528"/>
      <c r="BV2" s="528"/>
      <c r="BW2" s="528"/>
      <c r="BX2" s="528"/>
      <c r="BY2" s="528"/>
      <c r="BZ2" s="528"/>
      <c r="CA2" s="528"/>
      <c r="CB2" s="528"/>
      <c r="CC2" s="528"/>
      <c r="CD2" s="528"/>
      <c r="CE2" s="528"/>
      <c r="CF2" s="528"/>
      <c r="CG2" s="528"/>
      <c r="CH2" s="528"/>
      <c r="CI2" s="528"/>
      <c r="CJ2" s="528"/>
      <c r="CK2" s="528"/>
      <c r="CL2" s="528"/>
      <c r="CM2" s="528"/>
      <c r="CN2" s="528"/>
      <c r="CO2" s="528"/>
      <c r="CP2" s="528"/>
      <c r="CQ2" s="528"/>
      <c r="CR2" s="528"/>
      <c r="CS2" s="528"/>
      <c r="CT2" s="528"/>
      <c r="CU2" s="528"/>
      <c r="CV2" s="528"/>
      <c r="CW2" s="528"/>
      <c r="CX2" s="528"/>
      <c r="CY2" s="528"/>
      <c r="CZ2" s="528"/>
      <c r="DA2" s="528"/>
      <c r="DB2" s="528"/>
      <c r="DC2" s="528"/>
      <c r="DD2" s="528"/>
      <c r="DE2" s="528"/>
      <c r="DF2" s="528"/>
      <c r="DG2" s="528"/>
      <c r="DH2" s="528"/>
      <c r="DI2" s="528"/>
      <c r="DJ2" s="528"/>
      <c r="DK2" s="528"/>
      <c r="DL2" s="528"/>
      <c r="DM2" s="528"/>
      <c r="DN2" s="528"/>
      <c r="DO2" s="528"/>
      <c r="DP2" s="528"/>
      <c r="DQ2" s="528"/>
      <c r="DR2" s="528"/>
      <c r="DS2" s="528"/>
      <c r="DT2" s="528"/>
      <c r="DU2" s="528"/>
      <c r="DV2" s="528"/>
      <c r="DW2" s="528"/>
      <c r="DX2" s="528"/>
      <c r="DY2" s="528"/>
      <c r="DZ2" s="528"/>
      <c r="EA2" s="528"/>
      <c r="EB2" s="528"/>
      <c r="EC2" s="528"/>
      <c r="ED2" s="528"/>
      <c r="EE2" s="528"/>
      <c r="EF2" s="528"/>
      <c r="EG2" s="528"/>
      <c r="EH2" s="528"/>
      <c r="EI2" s="528"/>
      <c r="EJ2" s="528"/>
      <c r="EK2" s="528"/>
      <c r="EL2" s="528"/>
      <c r="EM2" s="528"/>
      <c r="EN2" s="528"/>
      <c r="EO2" s="528"/>
      <c r="EP2" s="528"/>
      <c r="EQ2" s="528"/>
      <c r="ER2" s="528"/>
      <c r="ES2" s="528"/>
      <c r="ET2" s="528"/>
      <c r="EU2" s="528"/>
      <c r="EV2" s="528"/>
      <c r="EW2" s="528"/>
      <c r="EX2" s="528"/>
      <c r="EY2" s="528"/>
      <c r="EZ2" s="528"/>
      <c r="FA2" s="528"/>
      <c r="FB2" s="528"/>
      <c r="FC2" s="528"/>
      <c r="FD2" s="528"/>
      <c r="FE2" s="528"/>
      <c r="FF2" s="528"/>
      <c r="FG2" s="528"/>
      <c r="FH2" s="528"/>
      <c r="FI2" s="528"/>
      <c r="FJ2" s="528"/>
      <c r="FK2" s="528"/>
      <c r="FL2" s="528"/>
      <c r="FM2" s="528"/>
      <c r="FN2" s="528"/>
      <c r="FO2" s="528"/>
      <c r="FP2" s="528"/>
      <c r="FQ2" s="528"/>
      <c r="FR2" s="528"/>
      <c r="FS2" s="528"/>
      <c r="FT2" s="528"/>
      <c r="FU2" s="528"/>
      <c r="FV2" s="528"/>
      <c r="FW2" s="528"/>
      <c r="FX2" s="528"/>
      <c r="FY2" s="528"/>
      <c r="FZ2" s="528"/>
      <c r="GA2" s="528"/>
      <c r="GB2" s="528"/>
      <c r="GC2" s="528"/>
      <c r="GD2" s="528"/>
      <c r="GE2" s="528"/>
      <c r="GF2" s="528"/>
      <c r="GG2" s="528"/>
      <c r="GH2" s="528"/>
      <c r="GI2" s="528"/>
      <c r="GJ2" s="528"/>
      <c r="GK2" s="528"/>
      <c r="GL2" s="528"/>
      <c r="GM2" s="528"/>
      <c r="GN2" s="528"/>
      <c r="GO2" s="528"/>
      <c r="GP2" s="528"/>
      <c r="GQ2" s="528"/>
      <c r="GR2" s="528"/>
      <c r="GS2" s="528"/>
      <c r="GT2" s="528"/>
      <c r="GU2" s="528"/>
      <c r="GV2" s="528"/>
      <c r="GW2" s="528"/>
      <c r="GX2" s="528"/>
      <c r="GY2" s="528"/>
      <c r="GZ2" s="528"/>
      <c r="HA2" s="528"/>
      <c r="HB2" s="528"/>
      <c r="HC2" s="528"/>
      <c r="HD2" s="528"/>
      <c r="HE2" s="528"/>
      <c r="HF2" s="528"/>
      <c r="HG2" s="528"/>
      <c r="HH2" s="528"/>
      <c r="HI2" s="528"/>
      <c r="HJ2" s="528"/>
      <c r="HK2" s="528"/>
      <c r="HL2" s="528"/>
      <c r="HM2" s="528"/>
      <c r="HN2" s="528"/>
      <c r="HO2" s="528"/>
      <c r="HP2" s="528"/>
      <c r="HQ2" s="528"/>
      <c r="HR2" s="528"/>
      <c r="HS2" s="528"/>
      <c r="HT2" s="528"/>
      <c r="HU2" s="528"/>
      <c r="HV2" s="528"/>
      <c r="HW2" s="528"/>
      <c r="HX2" s="528"/>
      <c r="HY2" s="528"/>
      <c r="HZ2" s="528"/>
      <c r="IA2" s="528"/>
      <c r="IB2" s="528"/>
      <c r="IC2" s="528"/>
      <c r="ID2" s="528"/>
      <c r="IE2" s="528"/>
      <c r="IF2" s="528"/>
      <c r="IG2" s="528"/>
      <c r="IH2" s="528"/>
      <c r="II2" s="528"/>
      <c r="IJ2" s="528"/>
      <c r="IK2" s="528"/>
      <c r="IL2" s="528"/>
      <c r="IM2" s="528"/>
      <c r="IN2" s="528"/>
      <c r="IO2" s="528"/>
      <c r="IP2" s="528"/>
      <c r="IQ2" s="528"/>
      <c r="IR2" s="528"/>
      <c r="IS2" s="528"/>
      <c r="IT2" s="528"/>
      <c r="IU2" s="528"/>
      <c r="IV2" s="528"/>
    </row>
    <row r="3" spans="1:6">
      <c r="A3" s="471" t="s">
        <v>995</v>
      </c>
      <c r="B3" s="471"/>
      <c r="C3" s="471"/>
      <c r="D3" s="471"/>
      <c r="E3" s="471"/>
      <c r="F3" s="471"/>
    </row>
    <row r="4" spans="1:6">
      <c r="A4" s="530" t="s">
        <v>996</v>
      </c>
      <c r="B4" s="530" t="s">
        <v>997</v>
      </c>
      <c r="C4" s="530"/>
      <c r="D4" s="530" t="s">
        <v>998</v>
      </c>
      <c r="E4" s="530"/>
      <c r="F4" s="471" t="s">
        <v>707</v>
      </c>
    </row>
    <row r="5" spans="1:6">
      <c r="A5" s="531" t="s">
        <v>999</v>
      </c>
      <c r="B5" s="532"/>
      <c r="C5" s="532"/>
      <c r="D5" s="532"/>
      <c r="E5" s="532"/>
      <c r="F5" s="533"/>
    </row>
    <row r="6" spans="1:6">
      <c r="A6" s="531" t="s">
        <v>1000</v>
      </c>
      <c r="B6" s="534"/>
      <c r="C6" s="534"/>
      <c r="D6" s="534"/>
      <c r="E6" s="534"/>
      <c r="F6" s="533"/>
    </row>
    <row r="7" spans="1:6">
      <c r="A7" s="531" t="s">
        <v>1001</v>
      </c>
      <c r="B7" s="534"/>
      <c r="C7" s="534"/>
      <c r="D7" s="534"/>
      <c r="E7" s="534"/>
      <c r="F7" s="533"/>
    </row>
    <row r="8" spans="1:6">
      <c r="A8" s="531" t="s">
        <v>1002</v>
      </c>
      <c r="B8" s="535">
        <f>B6-B7</f>
        <v>0</v>
      </c>
      <c r="C8" s="535"/>
      <c r="D8" s="535">
        <f>D6-D7</f>
        <v>0</v>
      </c>
      <c r="E8" s="535"/>
      <c r="F8" s="533"/>
    </row>
    <row r="9" spans="1:6">
      <c r="A9" s="531" t="s">
        <v>1003</v>
      </c>
      <c r="B9" s="532"/>
      <c r="C9" s="532"/>
      <c r="D9" s="532"/>
      <c r="E9" s="532"/>
      <c r="F9" s="533"/>
    </row>
    <row r="10" spans="1:6">
      <c r="A10" s="531" t="s">
        <v>1004</v>
      </c>
      <c r="B10" s="532"/>
      <c r="C10" s="532"/>
      <c r="D10" s="532"/>
      <c r="E10" s="532"/>
      <c r="F10" s="533"/>
    </row>
    <row r="11" spans="1:6">
      <c r="A11" s="531" t="s">
        <v>1005</v>
      </c>
      <c r="B11" s="532"/>
      <c r="C11" s="532"/>
      <c r="D11" s="532"/>
      <c r="E11" s="532"/>
      <c r="F11" s="533"/>
    </row>
    <row r="12" spans="1:6">
      <c r="A12" s="531" t="s">
        <v>1006</v>
      </c>
      <c r="B12" s="532"/>
      <c r="C12" s="532"/>
      <c r="D12" s="536">
        <v>0</v>
      </c>
      <c r="E12" s="536"/>
      <c r="F12" s="533"/>
    </row>
    <row r="13" spans="1:6">
      <c r="A13" s="531" t="s">
        <v>1007</v>
      </c>
      <c r="B13" s="534" t="s">
        <v>1008</v>
      </c>
      <c r="C13" s="534"/>
      <c r="D13" s="534" t="s">
        <v>1009</v>
      </c>
      <c r="E13" s="534"/>
      <c r="F13" s="533"/>
    </row>
    <row r="14" s="525" customFormat="1" ht="22.5" spans="1:256">
      <c r="A14" s="537" t="e">
        <f>CONCATENATE("由模型测算可得出结论为：",IF(F16&gt;0,"旧设备可更新","旧设备不可更新"))</f>
        <v>#NUM!</v>
      </c>
      <c r="B14" s="537"/>
      <c r="C14" s="537"/>
      <c r="D14" s="537"/>
      <c r="E14" s="537"/>
      <c r="F14" s="537"/>
      <c r="G14" s="538"/>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38"/>
      <c r="AH14" s="538"/>
      <c r="AI14" s="538"/>
      <c r="AJ14" s="538"/>
      <c r="AK14" s="538"/>
      <c r="AL14" s="538"/>
      <c r="AM14" s="538"/>
      <c r="AN14" s="538"/>
      <c r="AO14" s="538"/>
      <c r="AP14" s="538"/>
      <c r="AQ14" s="538"/>
      <c r="AR14" s="538"/>
      <c r="AS14" s="538"/>
      <c r="AT14" s="538"/>
      <c r="AU14" s="538"/>
      <c r="AV14" s="538"/>
      <c r="AW14" s="538"/>
      <c r="AX14" s="538"/>
      <c r="AY14" s="538"/>
      <c r="AZ14" s="538"/>
      <c r="BA14" s="538"/>
      <c r="BB14" s="538"/>
      <c r="BC14" s="538"/>
      <c r="BD14" s="538"/>
      <c r="BE14" s="538"/>
      <c r="BF14" s="538"/>
      <c r="BG14" s="538"/>
      <c r="BH14" s="538"/>
      <c r="BI14" s="538"/>
      <c r="BJ14" s="538"/>
      <c r="BK14" s="538"/>
      <c r="BL14" s="538"/>
      <c r="BM14" s="538"/>
      <c r="BN14" s="538"/>
      <c r="BO14" s="538"/>
      <c r="BP14" s="538"/>
      <c r="BQ14" s="538"/>
      <c r="BR14" s="538"/>
      <c r="BS14" s="538"/>
      <c r="BT14" s="538"/>
      <c r="BU14" s="538"/>
      <c r="BV14" s="538"/>
      <c r="BW14" s="538"/>
      <c r="BX14" s="538"/>
      <c r="BY14" s="538"/>
      <c r="BZ14" s="538"/>
      <c r="CA14" s="538"/>
      <c r="CB14" s="538"/>
      <c r="CC14" s="538"/>
      <c r="CD14" s="538"/>
      <c r="CE14" s="538"/>
      <c r="CF14" s="538"/>
      <c r="CG14" s="538"/>
      <c r="CH14" s="538"/>
      <c r="CI14" s="538"/>
      <c r="CJ14" s="538"/>
      <c r="CK14" s="538"/>
      <c r="CL14" s="538"/>
      <c r="CM14" s="538"/>
      <c r="CN14" s="538"/>
      <c r="CO14" s="538"/>
      <c r="CP14" s="538"/>
      <c r="CQ14" s="538"/>
      <c r="CR14" s="538"/>
      <c r="CS14" s="538"/>
      <c r="CT14" s="538"/>
      <c r="CU14" s="538"/>
      <c r="CV14" s="538"/>
      <c r="CW14" s="538"/>
      <c r="CX14" s="538"/>
      <c r="CY14" s="538"/>
      <c r="CZ14" s="538"/>
      <c r="DA14" s="538"/>
      <c r="DB14" s="538"/>
      <c r="DC14" s="538"/>
      <c r="DD14" s="538"/>
      <c r="DE14" s="538"/>
      <c r="DF14" s="538"/>
      <c r="DG14" s="538"/>
      <c r="DH14" s="538"/>
      <c r="DI14" s="538"/>
      <c r="DJ14" s="538"/>
      <c r="DK14" s="538"/>
      <c r="DL14" s="538"/>
      <c r="DM14" s="538"/>
      <c r="DN14" s="538"/>
      <c r="DO14" s="538"/>
      <c r="DP14" s="538"/>
      <c r="DQ14" s="538"/>
      <c r="DR14" s="538"/>
      <c r="DS14" s="538"/>
      <c r="DT14" s="538"/>
      <c r="DU14" s="538"/>
      <c r="DV14" s="538"/>
      <c r="DW14" s="538"/>
      <c r="DX14" s="538"/>
      <c r="DY14" s="538"/>
      <c r="DZ14" s="538"/>
      <c r="EA14" s="538"/>
      <c r="EB14" s="538"/>
      <c r="EC14" s="538"/>
      <c r="ED14" s="538"/>
      <c r="EE14" s="538"/>
      <c r="EF14" s="538"/>
      <c r="EG14" s="538"/>
      <c r="EH14" s="538"/>
      <c r="EI14" s="538"/>
      <c r="EJ14" s="538"/>
      <c r="EK14" s="538"/>
      <c r="EL14" s="538"/>
      <c r="EM14" s="538"/>
      <c r="EN14" s="538"/>
      <c r="EO14" s="538"/>
      <c r="EP14" s="538"/>
      <c r="EQ14" s="538"/>
      <c r="ER14" s="538"/>
      <c r="ES14" s="538"/>
      <c r="ET14" s="538"/>
      <c r="EU14" s="538"/>
      <c r="EV14" s="538"/>
      <c r="EW14" s="538"/>
      <c r="EX14" s="538"/>
      <c r="EY14" s="538"/>
      <c r="EZ14" s="538"/>
      <c r="FA14" s="538"/>
      <c r="FB14" s="538"/>
      <c r="FC14" s="538"/>
      <c r="FD14" s="538"/>
      <c r="FE14" s="538"/>
      <c r="FF14" s="538"/>
      <c r="FG14" s="538"/>
      <c r="FH14" s="538"/>
      <c r="FI14" s="538"/>
      <c r="FJ14" s="538"/>
      <c r="FK14" s="538"/>
      <c r="FL14" s="538"/>
      <c r="FM14" s="538"/>
      <c r="FN14" s="538"/>
      <c r="FO14" s="538"/>
      <c r="FP14" s="538"/>
      <c r="FQ14" s="538"/>
      <c r="FR14" s="538"/>
      <c r="FS14" s="538"/>
      <c r="FT14" s="538"/>
      <c r="FU14" s="538"/>
      <c r="FV14" s="538"/>
      <c r="FW14" s="538"/>
      <c r="FX14" s="538"/>
      <c r="FY14" s="538"/>
      <c r="FZ14" s="538"/>
      <c r="GA14" s="538"/>
      <c r="GB14" s="538"/>
      <c r="GC14" s="538"/>
      <c r="GD14" s="538"/>
      <c r="GE14" s="538"/>
      <c r="GF14" s="538"/>
      <c r="GG14" s="538"/>
      <c r="GH14" s="538"/>
      <c r="GI14" s="538"/>
      <c r="GJ14" s="538"/>
      <c r="GK14" s="538"/>
      <c r="GL14" s="538"/>
      <c r="GM14" s="538"/>
      <c r="GN14" s="538"/>
      <c r="GO14" s="538"/>
      <c r="GP14" s="538"/>
      <c r="GQ14" s="538"/>
      <c r="GR14" s="538"/>
      <c r="GS14" s="538"/>
      <c r="GT14" s="538"/>
      <c r="GU14" s="538"/>
      <c r="GV14" s="538"/>
      <c r="GW14" s="538"/>
      <c r="GX14" s="538"/>
      <c r="GY14" s="538"/>
      <c r="GZ14" s="538"/>
      <c r="HA14" s="538"/>
      <c r="HB14" s="538"/>
      <c r="HC14" s="538"/>
      <c r="HD14" s="538"/>
      <c r="HE14" s="538"/>
      <c r="HF14" s="538"/>
      <c r="HG14" s="538"/>
      <c r="HH14" s="538"/>
      <c r="HI14" s="538"/>
      <c r="HJ14" s="538"/>
      <c r="HK14" s="538"/>
      <c r="HL14" s="538"/>
      <c r="HM14" s="538"/>
      <c r="HN14" s="538"/>
      <c r="HO14" s="538"/>
      <c r="HP14" s="538"/>
      <c r="HQ14" s="538"/>
      <c r="HR14" s="538"/>
      <c r="HS14" s="538"/>
      <c r="HT14" s="538"/>
      <c r="HU14" s="538"/>
      <c r="HV14" s="538"/>
      <c r="HW14" s="538"/>
      <c r="HX14" s="538"/>
      <c r="HY14" s="538"/>
      <c r="HZ14" s="538"/>
      <c r="IA14" s="538"/>
      <c r="IB14" s="538"/>
      <c r="IC14" s="538"/>
      <c r="ID14" s="538"/>
      <c r="IE14" s="538"/>
      <c r="IF14" s="538"/>
      <c r="IG14" s="538"/>
      <c r="IH14" s="538"/>
      <c r="II14" s="538"/>
      <c r="IJ14" s="538"/>
      <c r="IK14" s="538"/>
      <c r="IL14" s="538"/>
      <c r="IM14" s="538"/>
      <c r="IN14" s="538"/>
      <c r="IO14" s="538"/>
      <c r="IP14" s="538"/>
      <c r="IQ14" s="538"/>
      <c r="IR14" s="538"/>
      <c r="IS14" s="538"/>
      <c r="IT14" s="538"/>
      <c r="IU14" s="538"/>
      <c r="IV14" s="550"/>
    </row>
    <row r="15" spans="1:6">
      <c r="A15" s="471" t="s">
        <v>993</v>
      </c>
      <c r="B15" s="471"/>
      <c r="C15" s="471"/>
      <c r="D15" s="471"/>
      <c r="E15" s="471"/>
      <c r="F15" s="471"/>
    </row>
    <row r="16" spans="1:6">
      <c r="A16" s="531" t="s">
        <v>963</v>
      </c>
      <c r="B16" s="539">
        <v>0.1</v>
      </c>
      <c r="C16" s="540" t="s">
        <v>262</v>
      </c>
      <c r="D16" s="539">
        <v>0.25</v>
      </c>
      <c r="E16" s="531" t="s">
        <v>1010</v>
      </c>
      <c r="F16" s="541" t="e">
        <f>(E23-E22)-(B23-B22)</f>
        <v>#NUM!</v>
      </c>
    </row>
    <row r="17" spans="1:6">
      <c r="A17" s="530" t="s">
        <v>997</v>
      </c>
      <c r="B17" s="530"/>
      <c r="C17" s="530"/>
      <c r="D17" s="530" t="s">
        <v>998</v>
      </c>
      <c r="E17" s="530"/>
      <c r="F17" s="530"/>
    </row>
    <row r="18" spans="1:6">
      <c r="A18" s="531" t="s">
        <v>1011</v>
      </c>
      <c r="B18" s="542">
        <f>B5</f>
        <v>0</v>
      </c>
      <c r="C18" s="530" t="s">
        <v>707</v>
      </c>
      <c r="D18" s="531" t="s">
        <v>1011</v>
      </c>
      <c r="E18" s="536">
        <f>D5</f>
        <v>0</v>
      </c>
      <c r="F18" s="471" t="s">
        <v>707</v>
      </c>
    </row>
    <row r="19" spans="1:6">
      <c r="A19" s="531" t="s">
        <v>1000</v>
      </c>
      <c r="B19" s="543">
        <f>B6</f>
        <v>0</v>
      </c>
      <c r="C19" s="533"/>
      <c r="D19" s="531" t="s">
        <v>1000</v>
      </c>
      <c r="E19" s="543">
        <f>D6</f>
        <v>0</v>
      </c>
      <c r="F19" s="544"/>
    </row>
    <row r="20" spans="1:6">
      <c r="A20" s="531" t="s">
        <v>1012</v>
      </c>
      <c r="B20" s="536">
        <f>B11</f>
        <v>0</v>
      </c>
      <c r="C20" s="533"/>
      <c r="D20" s="531" t="s">
        <v>1012</v>
      </c>
      <c r="E20" s="536">
        <f>D11</f>
        <v>0</v>
      </c>
      <c r="F20" s="544"/>
    </row>
    <row r="21" spans="1:6">
      <c r="A21" s="531" t="s">
        <v>1007</v>
      </c>
      <c r="B21" s="545" t="str">
        <f>B13</f>
        <v>直线法</v>
      </c>
      <c r="C21" s="533"/>
      <c r="D21" s="531" t="s">
        <v>1007</v>
      </c>
      <c r="E21" s="535" t="str">
        <f>D13</f>
        <v>年数总和法</v>
      </c>
      <c r="F21" s="544"/>
    </row>
    <row r="22" s="526" customFormat="1" spans="1:256">
      <c r="A22" s="531" t="s">
        <v>1006</v>
      </c>
      <c r="B22" s="536">
        <f>B12</f>
        <v>0</v>
      </c>
      <c r="C22" s="533"/>
      <c r="D22" s="531" t="s">
        <v>1006</v>
      </c>
      <c r="E22" s="536">
        <f>D12</f>
        <v>0</v>
      </c>
      <c r="F22" s="54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4"/>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4"/>
      <c r="GM22" s="484"/>
      <c r="GN22" s="484"/>
      <c r="GO22" s="484"/>
      <c r="GP22" s="484"/>
      <c r="GQ22" s="484"/>
      <c r="GR22" s="484"/>
      <c r="GS22" s="484"/>
      <c r="GT22" s="484"/>
      <c r="GU22" s="484"/>
      <c r="GV22" s="484"/>
      <c r="GW22" s="484"/>
      <c r="GX22" s="484"/>
      <c r="GY22" s="484"/>
      <c r="GZ22" s="484"/>
      <c r="HA22" s="484"/>
      <c r="HB22" s="484"/>
      <c r="HC22" s="484"/>
      <c r="HD22" s="484"/>
      <c r="HE22" s="484"/>
      <c r="HF22" s="484"/>
      <c r="HG22" s="484"/>
      <c r="HH22" s="484"/>
      <c r="HI22" s="484"/>
      <c r="HJ22" s="484"/>
      <c r="HK22" s="484"/>
      <c r="HL22" s="484"/>
      <c r="HM22" s="484"/>
      <c r="HN22" s="484"/>
      <c r="HO22" s="484"/>
      <c r="HP22" s="484"/>
      <c r="HQ22" s="484"/>
      <c r="HR22" s="484"/>
      <c r="HS22" s="484"/>
      <c r="HT22" s="484"/>
      <c r="HU22" s="484"/>
      <c r="HV22" s="484"/>
      <c r="HW22" s="484"/>
      <c r="HX22" s="484"/>
      <c r="HY22" s="484"/>
      <c r="HZ22" s="484"/>
      <c r="IA22" s="484"/>
      <c r="IB22" s="484"/>
      <c r="IC22" s="484"/>
      <c r="ID22" s="484"/>
      <c r="IE22" s="484"/>
      <c r="IF22" s="484"/>
      <c r="IG22" s="484"/>
      <c r="IH22" s="484"/>
      <c r="II22" s="484"/>
      <c r="IJ22" s="484"/>
      <c r="IK22" s="484"/>
      <c r="IL22" s="484"/>
      <c r="IM22" s="484"/>
      <c r="IN22" s="484"/>
      <c r="IO22" s="484"/>
      <c r="IP22" s="484"/>
      <c r="IQ22" s="484"/>
      <c r="IR22" s="484"/>
      <c r="IS22" s="484"/>
      <c r="IT22" s="484"/>
      <c r="IU22" s="484"/>
      <c r="IV22" s="484"/>
    </row>
    <row r="23" s="526" customFormat="1" spans="1:256">
      <c r="A23" s="531" t="s">
        <v>1013</v>
      </c>
      <c r="B23" s="541" t="e">
        <f>NPV(B16,B34:F34)</f>
        <v>#DIV/0!</v>
      </c>
      <c r="C23" s="533"/>
      <c r="D23" s="531" t="s">
        <v>1013</v>
      </c>
      <c r="E23" s="541" t="e">
        <f>NPV(B16,B45:F45)</f>
        <v>#NUM!</v>
      </c>
      <c r="F23" s="540"/>
      <c r="G23" s="484"/>
      <c r="H23" s="484"/>
      <c r="I23" s="484"/>
      <c r="J23" s="484"/>
      <c r="K23" s="484"/>
      <c r="L23" s="484"/>
      <c r="M23" s="484"/>
      <c r="N23" s="484"/>
      <c r="O23" s="484"/>
      <c r="P23" s="484"/>
      <c r="Q23" s="484"/>
      <c r="R23" s="484"/>
      <c r="S23" s="484"/>
      <c r="T23" s="484"/>
      <c r="U23" s="484"/>
      <c r="V23" s="484"/>
      <c r="W23" s="484"/>
      <c r="X23" s="484"/>
      <c r="Y23" s="484"/>
      <c r="Z23" s="484"/>
      <c r="AA23" s="484"/>
      <c r="AB23" s="484"/>
      <c r="AC23" s="484"/>
      <c r="AD23" s="484"/>
      <c r="AE23" s="484"/>
      <c r="AF23" s="484"/>
      <c r="AG23" s="484"/>
      <c r="AH23" s="484"/>
      <c r="AI23" s="484"/>
      <c r="AJ23" s="484"/>
      <c r="AK23" s="484"/>
      <c r="AL23" s="484"/>
      <c r="AM23" s="484"/>
      <c r="AN23" s="484"/>
      <c r="AO23" s="484"/>
      <c r="AP23" s="484"/>
      <c r="AQ23" s="484"/>
      <c r="AR23" s="484"/>
      <c r="AS23" s="484"/>
      <c r="AT23" s="484"/>
      <c r="AU23" s="484"/>
      <c r="AV23" s="484"/>
      <c r="AW23" s="484"/>
      <c r="AX23" s="484"/>
      <c r="AY23" s="484"/>
      <c r="AZ23" s="484"/>
      <c r="BA23" s="484"/>
      <c r="BB23" s="484"/>
      <c r="BC23" s="484"/>
      <c r="BD23" s="484"/>
      <c r="BE23" s="484"/>
      <c r="BF23" s="484"/>
      <c r="BG23" s="484"/>
      <c r="BH23" s="484"/>
      <c r="BI23" s="484"/>
      <c r="BJ23" s="484"/>
      <c r="BK23" s="484"/>
      <c r="BL23" s="484"/>
      <c r="BM23" s="484"/>
      <c r="BN23" s="484"/>
      <c r="BO23" s="484"/>
      <c r="BP23" s="484"/>
      <c r="BQ23" s="484"/>
      <c r="BR23" s="484"/>
      <c r="BS23" s="484"/>
      <c r="BT23" s="484"/>
      <c r="BU23" s="484"/>
      <c r="BV23" s="484"/>
      <c r="BW23" s="484"/>
      <c r="BX23" s="484"/>
      <c r="BY23" s="484"/>
      <c r="BZ23" s="484"/>
      <c r="CA23" s="484"/>
      <c r="CB23" s="484"/>
      <c r="CC23" s="484"/>
      <c r="CD23" s="484"/>
      <c r="CE23" s="484"/>
      <c r="CF23" s="484"/>
      <c r="CG23" s="484"/>
      <c r="CH23" s="484"/>
      <c r="CI23" s="484"/>
      <c r="CJ23" s="484"/>
      <c r="CK23" s="484"/>
      <c r="CL23" s="484"/>
      <c r="CM23" s="484"/>
      <c r="CN23" s="484"/>
      <c r="CO23" s="484"/>
      <c r="CP23" s="484"/>
      <c r="CQ23" s="484"/>
      <c r="CR23" s="484"/>
      <c r="CS23" s="484"/>
      <c r="CT23" s="484"/>
      <c r="CU23" s="484"/>
      <c r="CV23" s="484"/>
      <c r="CW23" s="484"/>
      <c r="CX23" s="484"/>
      <c r="CY23" s="484"/>
      <c r="CZ23" s="484"/>
      <c r="DA23" s="484"/>
      <c r="DB23" s="484"/>
      <c r="DC23" s="484"/>
      <c r="DD23" s="484"/>
      <c r="DE23" s="484"/>
      <c r="DF23" s="484"/>
      <c r="DG23" s="484"/>
      <c r="DH23" s="484"/>
      <c r="DI23" s="484"/>
      <c r="DJ23" s="484"/>
      <c r="DK23" s="484"/>
      <c r="DL23" s="484"/>
      <c r="DM23" s="484"/>
      <c r="DN23" s="484"/>
      <c r="DO23" s="484"/>
      <c r="DP23" s="484"/>
      <c r="DQ23" s="484"/>
      <c r="DR23" s="484"/>
      <c r="DS23" s="484"/>
      <c r="DT23" s="484"/>
      <c r="DU23" s="484"/>
      <c r="DV23" s="484"/>
      <c r="DW23" s="484"/>
      <c r="DX23" s="484"/>
      <c r="DY23" s="484"/>
      <c r="DZ23" s="484"/>
      <c r="EA23" s="484"/>
      <c r="EB23" s="484"/>
      <c r="EC23" s="484"/>
      <c r="ED23" s="484"/>
      <c r="EE23" s="484"/>
      <c r="EF23" s="484"/>
      <c r="EG23" s="484"/>
      <c r="EH23" s="484"/>
      <c r="EI23" s="484"/>
      <c r="EJ23" s="484"/>
      <c r="EK23" s="484"/>
      <c r="EL23" s="484"/>
      <c r="EM23" s="484"/>
      <c r="EN23" s="484"/>
      <c r="EO23" s="484"/>
      <c r="EP23" s="484"/>
      <c r="EQ23" s="484"/>
      <c r="ER23" s="484"/>
      <c r="ES23" s="484"/>
      <c r="ET23" s="484"/>
      <c r="EU23" s="484"/>
      <c r="EV23" s="484"/>
      <c r="EW23" s="484"/>
      <c r="EX23" s="484"/>
      <c r="EY23" s="484"/>
      <c r="EZ23" s="484"/>
      <c r="FA23" s="484"/>
      <c r="FB23" s="484"/>
      <c r="FC23" s="484"/>
      <c r="FD23" s="484"/>
      <c r="FE23" s="484"/>
      <c r="FF23" s="484"/>
      <c r="FG23" s="484"/>
      <c r="FH23" s="484"/>
      <c r="FI23" s="484"/>
      <c r="FJ23" s="484"/>
      <c r="FK23" s="484"/>
      <c r="FL23" s="484"/>
      <c r="FM23" s="484"/>
      <c r="FN23" s="484"/>
      <c r="FO23" s="484"/>
      <c r="FP23" s="484"/>
      <c r="FQ23" s="484"/>
      <c r="FR23" s="484"/>
      <c r="FS23" s="484"/>
      <c r="FT23" s="484"/>
      <c r="FU23" s="484"/>
      <c r="FV23" s="484"/>
      <c r="FW23" s="484"/>
      <c r="FX23" s="484"/>
      <c r="FY23" s="484"/>
      <c r="FZ23" s="484"/>
      <c r="GA23" s="484"/>
      <c r="GB23" s="484"/>
      <c r="GC23" s="484"/>
      <c r="GD23" s="484"/>
      <c r="GE23" s="484"/>
      <c r="GF23" s="484"/>
      <c r="GG23" s="484"/>
      <c r="GH23" s="484"/>
      <c r="GI23" s="484"/>
      <c r="GJ23" s="484"/>
      <c r="GK23" s="484"/>
      <c r="GL23" s="484"/>
      <c r="GM23" s="484"/>
      <c r="GN23" s="484"/>
      <c r="GO23" s="484"/>
      <c r="GP23" s="484"/>
      <c r="GQ23" s="484"/>
      <c r="GR23" s="484"/>
      <c r="GS23" s="484"/>
      <c r="GT23" s="484"/>
      <c r="GU23" s="484"/>
      <c r="GV23" s="484"/>
      <c r="GW23" s="484"/>
      <c r="GX23" s="484"/>
      <c r="GY23" s="484"/>
      <c r="GZ23" s="484"/>
      <c r="HA23" s="484"/>
      <c r="HB23" s="484"/>
      <c r="HC23" s="484"/>
      <c r="HD23" s="484"/>
      <c r="HE23" s="484"/>
      <c r="HF23" s="484"/>
      <c r="HG23" s="484"/>
      <c r="HH23" s="484"/>
      <c r="HI23" s="484"/>
      <c r="HJ23" s="484"/>
      <c r="HK23" s="484"/>
      <c r="HL23" s="484"/>
      <c r="HM23" s="484"/>
      <c r="HN23" s="484"/>
      <c r="HO23" s="484"/>
      <c r="HP23" s="484"/>
      <c r="HQ23" s="484"/>
      <c r="HR23" s="484"/>
      <c r="HS23" s="484"/>
      <c r="HT23" s="484"/>
      <c r="HU23" s="484"/>
      <c r="HV23" s="484"/>
      <c r="HW23" s="484"/>
      <c r="HX23" s="484"/>
      <c r="HY23" s="484"/>
      <c r="HZ23" s="484"/>
      <c r="IA23" s="484"/>
      <c r="IB23" s="484"/>
      <c r="IC23" s="484"/>
      <c r="ID23" s="484"/>
      <c r="IE23" s="484"/>
      <c r="IF23" s="484"/>
      <c r="IG23" s="484"/>
      <c r="IH23" s="484"/>
      <c r="II23" s="484"/>
      <c r="IJ23" s="484"/>
      <c r="IK23" s="484"/>
      <c r="IL23" s="484"/>
      <c r="IM23" s="484"/>
      <c r="IN23" s="484"/>
      <c r="IO23" s="484"/>
      <c r="IP23" s="484"/>
      <c r="IQ23" s="484"/>
      <c r="IR23" s="484"/>
      <c r="IS23" s="484"/>
      <c r="IT23" s="484"/>
      <c r="IU23" s="484"/>
      <c r="IV23" s="484"/>
    </row>
    <row r="24" spans="1:6">
      <c r="A24" s="530" t="s">
        <v>1014</v>
      </c>
      <c r="B24" s="530"/>
      <c r="C24" s="530"/>
      <c r="D24" s="530"/>
      <c r="E24" s="530"/>
      <c r="F24" s="530"/>
    </row>
    <row r="25" spans="1:6">
      <c r="A25" s="531" t="s">
        <v>1015</v>
      </c>
      <c r="B25" s="546">
        <v>1</v>
      </c>
      <c r="C25" s="546">
        <v>2</v>
      </c>
      <c r="D25" s="546">
        <v>3</v>
      </c>
      <c r="E25" s="546">
        <v>4</v>
      </c>
      <c r="F25" s="546">
        <v>5</v>
      </c>
    </row>
    <row r="26" spans="1:6">
      <c r="A26" s="531" t="s">
        <v>1003</v>
      </c>
      <c r="B26" s="536">
        <f t="shared" ref="B26:F26" si="0">$B$9</f>
        <v>0</v>
      </c>
      <c r="C26" s="536">
        <f t="shared" si="0"/>
        <v>0</v>
      </c>
      <c r="D26" s="536">
        <f t="shared" si="0"/>
        <v>0</v>
      </c>
      <c r="E26" s="536">
        <f t="shared" si="0"/>
        <v>0</v>
      </c>
      <c r="F26" s="536">
        <f t="shared" si="0"/>
        <v>0</v>
      </c>
    </row>
    <row r="27" spans="1:6">
      <c r="A27" s="531" t="s">
        <v>1004</v>
      </c>
      <c r="B27" s="536">
        <f t="shared" ref="B27:F27" si="1">$B$10</f>
        <v>0</v>
      </c>
      <c r="C27" s="536">
        <f t="shared" si="1"/>
        <v>0</v>
      </c>
      <c r="D27" s="536">
        <f t="shared" si="1"/>
        <v>0</v>
      </c>
      <c r="E27" s="536">
        <f t="shared" si="1"/>
        <v>0</v>
      </c>
      <c r="F27" s="536">
        <f t="shared" si="1"/>
        <v>0</v>
      </c>
    </row>
    <row r="28" spans="1:6">
      <c r="A28" s="531" t="s">
        <v>1016</v>
      </c>
      <c r="B28" s="536" t="e">
        <f>SLN($B$18,$B$20,$B$19)</f>
        <v>#DIV/0!</v>
      </c>
      <c r="C28" s="536" t="e">
        <f t="shared" ref="C28:F28" si="2">SLN($B$18,$B$20,$B$19)</f>
        <v>#DIV/0!</v>
      </c>
      <c r="D28" s="536" t="e">
        <f t="shared" si="2"/>
        <v>#DIV/0!</v>
      </c>
      <c r="E28" s="536" t="e">
        <f t="shared" si="2"/>
        <v>#DIV/0!</v>
      </c>
      <c r="F28" s="536" t="e">
        <f t="shared" si="2"/>
        <v>#DIV/0!</v>
      </c>
    </row>
    <row r="29" spans="1:6">
      <c r="A29" s="531" t="s">
        <v>1017</v>
      </c>
      <c r="B29" s="536" t="e">
        <f t="shared" ref="B29:F29" si="3">B26-B27-B28</f>
        <v>#DIV/0!</v>
      </c>
      <c r="C29" s="536" t="e">
        <f t="shared" si="3"/>
        <v>#DIV/0!</v>
      </c>
      <c r="D29" s="536" t="e">
        <f t="shared" si="3"/>
        <v>#DIV/0!</v>
      </c>
      <c r="E29" s="536" t="e">
        <f t="shared" si="3"/>
        <v>#DIV/0!</v>
      </c>
      <c r="F29" s="536" t="e">
        <f t="shared" si="3"/>
        <v>#DIV/0!</v>
      </c>
    </row>
    <row r="30" spans="1:6">
      <c r="A30" s="531" t="s">
        <v>262</v>
      </c>
      <c r="B30" s="536" t="e">
        <f t="shared" ref="B30:F30" si="4">B29*$D$16</f>
        <v>#DIV/0!</v>
      </c>
      <c r="C30" s="536" t="e">
        <f t="shared" si="4"/>
        <v>#DIV/0!</v>
      </c>
      <c r="D30" s="536" t="e">
        <f t="shared" si="4"/>
        <v>#DIV/0!</v>
      </c>
      <c r="E30" s="536" t="e">
        <f t="shared" si="4"/>
        <v>#DIV/0!</v>
      </c>
      <c r="F30" s="536" t="e">
        <f t="shared" si="4"/>
        <v>#DIV/0!</v>
      </c>
    </row>
    <row r="31" spans="1:6">
      <c r="A31" s="531" t="s">
        <v>1018</v>
      </c>
      <c r="B31" s="536" t="e">
        <f t="shared" ref="B31:F31" si="5">B29-B30</f>
        <v>#DIV/0!</v>
      </c>
      <c r="C31" s="536" t="e">
        <f t="shared" si="5"/>
        <v>#DIV/0!</v>
      </c>
      <c r="D31" s="536" t="e">
        <f t="shared" si="5"/>
        <v>#DIV/0!</v>
      </c>
      <c r="E31" s="536" t="e">
        <f t="shared" si="5"/>
        <v>#DIV/0!</v>
      </c>
      <c r="F31" s="536" t="e">
        <f t="shared" si="5"/>
        <v>#DIV/0!</v>
      </c>
    </row>
    <row r="32" spans="1:6">
      <c r="A32" s="531" t="s">
        <v>1019</v>
      </c>
      <c r="B32" s="536" t="e">
        <f t="shared" ref="B32:F32" si="6">B31+B28</f>
        <v>#DIV/0!</v>
      </c>
      <c r="C32" s="536" t="e">
        <f t="shared" si="6"/>
        <v>#DIV/0!</v>
      </c>
      <c r="D32" s="536" t="e">
        <f t="shared" si="6"/>
        <v>#DIV/0!</v>
      </c>
      <c r="E32" s="536" t="e">
        <f t="shared" si="6"/>
        <v>#DIV/0!</v>
      </c>
      <c r="F32" s="536" t="e">
        <f t="shared" si="6"/>
        <v>#DIV/0!</v>
      </c>
    </row>
    <row r="33" spans="1:6">
      <c r="A33" s="531" t="s">
        <v>1020</v>
      </c>
      <c r="B33" s="547"/>
      <c r="C33" s="547"/>
      <c r="D33" s="547"/>
      <c r="E33" s="547"/>
      <c r="F33" s="547"/>
    </row>
    <row r="34" spans="1:6">
      <c r="A34" s="531" t="s">
        <v>1021</v>
      </c>
      <c r="B34" s="536" t="e">
        <f t="shared" ref="B34:F34" si="7">B32+B33</f>
        <v>#DIV/0!</v>
      </c>
      <c r="C34" s="536" t="e">
        <f t="shared" si="7"/>
        <v>#DIV/0!</v>
      </c>
      <c r="D34" s="536" t="e">
        <f t="shared" si="7"/>
        <v>#DIV/0!</v>
      </c>
      <c r="E34" s="536" t="e">
        <f t="shared" si="7"/>
        <v>#DIV/0!</v>
      </c>
      <c r="F34" s="536" t="e">
        <f t="shared" si="7"/>
        <v>#DIV/0!</v>
      </c>
    </row>
    <row r="35" spans="1:6">
      <c r="A35" s="530" t="s">
        <v>1022</v>
      </c>
      <c r="B35" s="530"/>
      <c r="C35" s="530"/>
      <c r="D35" s="530"/>
      <c r="E35" s="530"/>
      <c r="F35" s="530"/>
    </row>
    <row r="36" spans="1:6">
      <c r="A36" s="531" t="s">
        <v>1023</v>
      </c>
      <c r="B36" s="546">
        <v>1</v>
      </c>
      <c r="C36" s="546">
        <v>2</v>
      </c>
      <c r="D36" s="546">
        <v>3</v>
      </c>
      <c r="E36" s="546">
        <v>4</v>
      </c>
      <c r="F36" s="546">
        <v>5</v>
      </c>
    </row>
    <row r="37" spans="1:6">
      <c r="A37" s="531" t="s">
        <v>1003</v>
      </c>
      <c r="B37" s="536">
        <f t="shared" ref="B37:F37" si="8">$D$9</f>
        <v>0</v>
      </c>
      <c r="C37" s="536">
        <f t="shared" si="8"/>
        <v>0</v>
      </c>
      <c r="D37" s="536">
        <f t="shared" si="8"/>
        <v>0</v>
      </c>
      <c r="E37" s="536">
        <f t="shared" si="8"/>
        <v>0</v>
      </c>
      <c r="F37" s="536">
        <f t="shared" si="8"/>
        <v>0</v>
      </c>
    </row>
    <row r="38" spans="1:6">
      <c r="A38" s="531" t="s">
        <v>1004</v>
      </c>
      <c r="B38" s="536">
        <f t="shared" ref="B38:F38" si="9">$D$10</f>
        <v>0</v>
      </c>
      <c r="C38" s="536">
        <f t="shared" si="9"/>
        <v>0</v>
      </c>
      <c r="D38" s="536">
        <f t="shared" si="9"/>
        <v>0</v>
      </c>
      <c r="E38" s="536">
        <f t="shared" si="9"/>
        <v>0</v>
      </c>
      <c r="F38" s="536">
        <f t="shared" si="9"/>
        <v>0</v>
      </c>
    </row>
    <row r="39" spans="1:6">
      <c r="A39" s="531" t="s">
        <v>1016</v>
      </c>
      <c r="B39" s="536" t="e">
        <f t="shared" ref="B39:F39" si="10">SYD($E$18,$E$20,$E$19,B36)</f>
        <v>#NUM!</v>
      </c>
      <c r="C39" s="536" t="e">
        <f t="shared" si="10"/>
        <v>#NUM!</v>
      </c>
      <c r="D39" s="536" t="e">
        <f t="shared" si="10"/>
        <v>#NUM!</v>
      </c>
      <c r="E39" s="536" t="e">
        <f t="shared" si="10"/>
        <v>#NUM!</v>
      </c>
      <c r="F39" s="536" t="e">
        <f t="shared" si="10"/>
        <v>#NUM!</v>
      </c>
    </row>
    <row r="40" spans="1:6">
      <c r="A40" s="531" t="s">
        <v>1017</v>
      </c>
      <c r="B40" s="536" t="e">
        <f t="shared" ref="B40:F40" si="11">B37-B38-B39</f>
        <v>#NUM!</v>
      </c>
      <c r="C40" s="536" t="e">
        <f t="shared" si="11"/>
        <v>#NUM!</v>
      </c>
      <c r="D40" s="536" t="e">
        <f t="shared" si="11"/>
        <v>#NUM!</v>
      </c>
      <c r="E40" s="536" t="e">
        <f t="shared" si="11"/>
        <v>#NUM!</v>
      </c>
      <c r="F40" s="536" t="e">
        <f t="shared" si="11"/>
        <v>#NUM!</v>
      </c>
    </row>
    <row r="41" spans="1:6">
      <c r="A41" s="531" t="s">
        <v>262</v>
      </c>
      <c r="B41" s="536" t="e">
        <f t="shared" ref="B41:F41" si="12">B40*$D$16</f>
        <v>#NUM!</v>
      </c>
      <c r="C41" s="536" t="e">
        <f t="shared" si="12"/>
        <v>#NUM!</v>
      </c>
      <c r="D41" s="536" t="e">
        <f t="shared" si="12"/>
        <v>#NUM!</v>
      </c>
      <c r="E41" s="536" t="e">
        <f t="shared" si="12"/>
        <v>#NUM!</v>
      </c>
      <c r="F41" s="536" t="e">
        <f t="shared" si="12"/>
        <v>#NUM!</v>
      </c>
    </row>
    <row r="42" spans="1:6">
      <c r="A42" s="531" t="s">
        <v>1018</v>
      </c>
      <c r="B42" s="536" t="e">
        <f t="shared" ref="B42:F42" si="13">B40-B41</f>
        <v>#NUM!</v>
      </c>
      <c r="C42" s="536" t="e">
        <f t="shared" si="13"/>
        <v>#NUM!</v>
      </c>
      <c r="D42" s="536" t="e">
        <f t="shared" si="13"/>
        <v>#NUM!</v>
      </c>
      <c r="E42" s="536" t="e">
        <f t="shared" si="13"/>
        <v>#NUM!</v>
      </c>
      <c r="F42" s="536" t="e">
        <f t="shared" si="13"/>
        <v>#NUM!</v>
      </c>
    </row>
    <row r="43" spans="1:6">
      <c r="A43" s="531" t="s">
        <v>1019</v>
      </c>
      <c r="B43" s="536" t="e">
        <f t="shared" ref="B43:F43" si="14">B42+B39</f>
        <v>#NUM!</v>
      </c>
      <c r="C43" s="536" t="e">
        <f t="shared" si="14"/>
        <v>#NUM!</v>
      </c>
      <c r="D43" s="536" t="e">
        <f t="shared" si="14"/>
        <v>#NUM!</v>
      </c>
      <c r="E43" s="536" t="e">
        <f t="shared" si="14"/>
        <v>#NUM!</v>
      </c>
      <c r="F43" s="536" t="e">
        <f t="shared" si="14"/>
        <v>#NUM!</v>
      </c>
    </row>
    <row r="44" spans="1:6">
      <c r="A44" s="531" t="s">
        <v>1020</v>
      </c>
      <c r="B44" s="547"/>
      <c r="C44" s="547"/>
      <c r="D44" s="547"/>
      <c r="E44" s="547"/>
      <c r="F44" s="547"/>
    </row>
    <row r="45" spans="1:6">
      <c r="A45" s="531" t="s">
        <v>1021</v>
      </c>
      <c r="B45" s="536" t="e">
        <f t="shared" ref="B45:F45" si="15">B43+B44</f>
        <v>#NUM!</v>
      </c>
      <c r="C45" s="536" t="e">
        <f t="shared" si="15"/>
        <v>#NUM!</v>
      </c>
      <c r="D45" s="536" t="e">
        <f t="shared" si="15"/>
        <v>#NUM!</v>
      </c>
      <c r="E45" s="536" t="e">
        <f t="shared" si="15"/>
        <v>#NUM!</v>
      </c>
      <c r="F45" s="536" t="e">
        <f t="shared" si="15"/>
        <v>#NUM!</v>
      </c>
    </row>
    <row r="46" spans="1:6">
      <c r="A46" s="548"/>
      <c r="B46" s="548"/>
      <c r="C46" s="548"/>
      <c r="D46" s="548"/>
      <c r="E46" s="548"/>
      <c r="F46" s="548"/>
    </row>
    <row r="47" spans="1:6">
      <c r="A47" s="549" t="s">
        <v>1024</v>
      </c>
      <c r="B47" s="549"/>
      <c r="C47" s="549"/>
      <c r="D47" s="549"/>
      <c r="E47" s="549"/>
      <c r="F47" s="549"/>
    </row>
    <row r="48" spans="1:6">
      <c r="A48" s="549" t="s">
        <v>1025</v>
      </c>
      <c r="B48" s="536" t="e">
        <f t="shared" ref="B48:D48" si="16">DDB($E$18,$E$20,$E$19,B36)</f>
        <v>#NUM!</v>
      </c>
      <c r="C48" s="536" t="e">
        <f t="shared" si="16"/>
        <v>#NUM!</v>
      </c>
      <c r="D48" s="536" t="e">
        <f t="shared" si="16"/>
        <v>#NUM!</v>
      </c>
      <c r="E48" s="536" t="e">
        <f>(E18-B48:D48-E20)/2</f>
        <v>#VALUE!</v>
      </c>
      <c r="F48" s="536" t="e">
        <f>(E18-B48:D48-E20)/2</f>
        <v>#VALUE!</v>
      </c>
    </row>
    <row r="49" ht="14.45" customHeight="1" spans="1:6">
      <c r="A49" s="529">
        <f>资产负债表!A39</f>
        <v>0</v>
      </c>
      <c r="B49" s="529"/>
      <c r="C49" s="529"/>
      <c r="D49" s="529"/>
      <c r="E49" s="529"/>
      <c r="F49" s="529"/>
    </row>
  </sheetData>
  <mergeCells count="37">
    <mergeCell ref="A1:F1"/>
    <mergeCell ref="A2:B2"/>
    <mergeCell ref="C2:D2"/>
    <mergeCell ref="E2:F2"/>
    <mergeCell ref="A3:F3"/>
    <mergeCell ref="B4:C4"/>
    <mergeCell ref="D4:E4"/>
    <mergeCell ref="B5:C5"/>
    <mergeCell ref="D5:E5"/>
    <mergeCell ref="B6:C6"/>
    <mergeCell ref="D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A14:F14"/>
    <mergeCell ref="A15:F15"/>
    <mergeCell ref="A17:C17"/>
    <mergeCell ref="D17:F17"/>
    <mergeCell ref="A24:F24"/>
    <mergeCell ref="A35:F35"/>
    <mergeCell ref="A46:F46"/>
    <mergeCell ref="A47:F47"/>
    <mergeCell ref="A49:F49"/>
    <mergeCell ref="C19:C23"/>
    <mergeCell ref="F5:F13"/>
    <mergeCell ref="F19:F23"/>
  </mergeCells>
  <printOptions horizontalCentered="1"/>
  <pageMargins left="0.349305555555556" right="0.349305555555556" top="0.788888888888889" bottom="0.788888888888889" header="0.509027777777778" footer="0.509027777777778"/>
  <pageSetup paperSize="9" scale="95" orientation="portrait"/>
  <headerFooter alignWithMargins="0" scaleWithDoc="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I27"/>
  <sheetViews>
    <sheetView zoomScale="90" zoomScaleNormal="90" workbookViewId="0">
      <selection activeCell="F9" sqref="F9"/>
    </sheetView>
  </sheetViews>
  <sheetFormatPr defaultColWidth="9" defaultRowHeight="17.25"/>
  <cols>
    <col min="1" max="1" width="22.625" style="507" customWidth="1"/>
    <col min="2" max="2" width="17.625" style="507" customWidth="1"/>
    <col min="3" max="3" width="3.625" style="507" customWidth="1"/>
    <col min="4" max="5" width="14.625" style="507" customWidth="1"/>
    <col min="6" max="6" width="49.375" style="507" customWidth="1"/>
    <col min="7" max="7" width="3.625" style="507" customWidth="1"/>
    <col min="8" max="8" width="22.625" style="507" customWidth="1"/>
    <col min="9" max="9" width="17.625" style="507" customWidth="1"/>
    <col min="10" max="16384" width="9" style="507"/>
  </cols>
  <sheetData>
    <row r="1" ht="32.1" customHeight="1" spans="1:9">
      <c r="A1" s="508" t="s">
        <v>1026</v>
      </c>
      <c r="B1" s="508"/>
      <c r="C1" s="508"/>
      <c r="D1" s="508"/>
      <c r="E1" s="508"/>
      <c r="F1" s="508"/>
      <c r="G1" s="508"/>
      <c r="H1" s="508"/>
      <c r="I1" s="508"/>
    </row>
    <row r="2" ht="29.25" spans="1:9">
      <c r="A2" s="509" t="s">
        <v>1027</v>
      </c>
      <c r="B2" s="509"/>
      <c r="C2" s="510"/>
      <c r="D2" s="511" t="s">
        <v>1028</v>
      </c>
      <c r="E2" s="511"/>
      <c r="F2" s="511"/>
      <c r="G2" s="510"/>
      <c r="H2" s="509" t="s">
        <v>1029</v>
      </c>
      <c r="I2" s="509"/>
    </row>
    <row r="3" ht="22.5" spans="1:9">
      <c r="A3" s="512" t="s">
        <v>33</v>
      </c>
      <c r="B3" s="512"/>
      <c r="C3" s="510"/>
      <c r="D3" s="511"/>
      <c r="E3" s="511"/>
      <c r="F3" s="511"/>
      <c r="G3" s="510"/>
      <c r="H3" s="512" t="s">
        <v>1030</v>
      </c>
      <c r="I3" s="512"/>
    </row>
    <row r="4" ht="18" spans="1:9">
      <c r="A4" s="513">
        <f>利润表!B5</f>
        <v>300000</v>
      </c>
      <c r="B4" s="513"/>
      <c r="C4" s="510"/>
      <c r="D4" s="511"/>
      <c r="E4" s="511"/>
      <c r="F4" s="511"/>
      <c r="G4" s="510"/>
      <c r="H4" s="513" t="s">
        <v>1031</v>
      </c>
      <c r="I4" s="513"/>
    </row>
    <row r="5" ht="18" spans="1:9">
      <c r="A5" s="514" t="s">
        <v>996</v>
      </c>
      <c r="B5" s="514" t="s">
        <v>1032</v>
      </c>
      <c r="C5" s="510"/>
      <c r="D5" s="514" t="s">
        <v>1033</v>
      </c>
      <c r="E5" s="514" t="s">
        <v>1034</v>
      </c>
      <c r="F5" s="515" t="s">
        <v>1035</v>
      </c>
      <c r="G5" s="510"/>
      <c r="H5" s="514" t="s">
        <v>996</v>
      </c>
      <c r="I5" s="514" t="s">
        <v>1032</v>
      </c>
    </row>
    <row r="6" spans="1:9">
      <c r="A6" s="516" t="s">
        <v>525</v>
      </c>
      <c r="B6" s="517">
        <f>利润表!B7</f>
        <v>1334</v>
      </c>
      <c r="D6" s="518">
        <f>利润表!F7</f>
        <v>0.00179666666666667</v>
      </c>
      <c r="E6" s="519"/>
      <c r="F6" s="516" t="s">
        <v>225</v>
      </c>
      <c r="H6" s="516" t="s">
        <v>525</v>
      </c>
      <c r="I6" s="517">
        <f>B6*(1+E6)</f>
        <v>1334</v>
      </c>
    </row>
    <row r="7" spans="1:9">
      <c r="A7" s="516" t="s">
        <v>528</v>
      </c>
      <c r="B7" s="517">
        <f>利润表!B8</f>
        <v>34111</v>
      </c>
      <c r="D7" s="518">
        <f>利润表!D8</f>
        <v>0.113703333333333</v>
      </c>
      <c r="E7" s="519"/>
      <c r="F7" s="516" t="s">
        <v>1036</v>
      </c>
      <c r="H7" s="516" t="s">
        <v>528</v>
      </c>
      <c r="I7" s="517">
        <f>I6*E7</f>
        <v>0</v>
      </c>
    </row>
    <row r="8" spans="1:9">
      <c r="A8" s="516" t="s">
        <v>1037</v>
      </c>
      <c r="B8" s="517">
        <f>利润表!B9</f>
        <v>23444</v>
      </c>
      <c r="D8" s="518">
        <f>(利润表!B10+利润表!B11)/利润表!B7</f>
        <v>19.4902548725637</v>
      </c>
      <c r="E8" s="519"/>
      <c r="F8" s="516" t="s">
        <v>1038</v>
      </c>
      <c r="H8" s="516" t="s">
        <v>1037</v>
      </c>
      <c r="I8" s="517">
        <f>I6*E8</f>
        <v>0</v>
      </c>
    </row>
    <row r="9" spans="1:9">
      <c r="A9" s="516" t="s">
        <v>1039</v>
      </c>
      <c r="B9" s="517">
        <f>利润表!B10</f>
        <v>26000</v>
      </c>
      <c r="D9" s="518" t="e">
        <f>2*利润表!B12/(资产负债表!E7+资产负债表!F7+资产负债表!E21+资产负债表!F21+资产负债表!E22+资产负债表!F22)</f>
        <v>#DIV/0!</v>
      </c>
      <c r="E9" s="519"/>
      <c r="F9" s="516" t="s">
        <v>1040</v>
      </c>
      <c r="H9" s="516" t="s">
        <v>1039</v>
      </c>
      <c r="I9" s="517">
        <f>I6-I7-I8</f>
        <v>1334</v>
      </c>
    </row>
    <row r="10" spans="1:9">
      <c r="A10" s="516" t="s">
        <v>1041</v>
      </c>
      <c r="B10" s="517">
        <f>利润表!B11</f>
        <v>0</v>
      </c>
      <c r="D10" s="518">
        <f>利润表!B22/利润表!B21</f>
        <v>0</v>
      </c>
      <c r="E10" s="519"/>
      <c r="F10" s="516" t="s">
        <v>1042</v>
      </c>
      <c r="H10" s="516" t="s">
        <v>1041</v>
      </c>
      <c r="I10" s="517">
        <f>(资产负债表!E6+资产负债表!F6+资产负债表!E20+资产负债表!F20+资产负债表!E21+资产负债表!F21)*E9</f>
        <v>0</v>
      </c>
    </row>
    <row r="11" spans="1:9">
      <c r="A11" s="516" t="s">
        <v>1043</v>
      </c>
      <c r="B11" s="517">
        <f>利润表!B12</f>
        <v>0</v>
      </c>
      <c r="D11" s="518">
        <f>B18/利润表!B7</f>
        <v>462.067466266867</v>
      </c>
      <c r="E11" s="519"/>
      <c r="F11" s="516" t="s">
        <v>1044</v>
      </c>
      <c r="H11" s="516" t="s">
        <v>1043</v>
      </c>
      <c r="I11" s="517">
        <f>I9-I10</f>
        <v>1334</v>
      </c>
    </row>
    <row r="12" spans="1:9">
      <c r="A12" s="516" t="s">
        <v>262</v>
      </c>
      <c r="B12" s="517">
        <f>利润表!B13</f>
        <v>0</v>
      </c>
      <c r="D12" s="518">
        <f>B22/利润表!B7</f>
        <v>9.97976011994003</v>
      </c>
      <c r="E12" s="519"/>
      <c r="F12" s="516" t="s">
        <v>1045</v>
      </c>
      <c r="H12" s="516" t="s">
        <v>262</v>
      </c>
      <c r="I12" s="517">
        <f>I11*E10</f>
        <v>0</v>
      </c>
    </row>
    <row r="13" spans="1:9">
      <c r="A13" s="516" t="s">
        <v>537</v>
      </c>
      <c r="B13" s="517">
        <f>利润表!B14</f>
        <v>0</v>
      </c>
      <c r="D13" s="518">
        <f>B19/利润表!B7</f>
        <v>66.6326836581709</v>
      </c>
      <c r="E13" s="519"/>
      <c r="F13" s="516" t="s">
        <v>1046</v>
      </c>
      <c r="H13" s="516" t="s">
        <v>537</v>
      </c>
      <c r="I13" s="517">
        <f>I11-I12</f>
        <v>1334</v>
      </c>
    </row>
    <row r="14" spans="1:9">
      <c r="A14" s="512" t="s">
        <v>1</v>
      </c>
      <c r="B14" s="512"/>
      <c r="D14" s="518">
        <f>B20/利润表!B7</f>
        <v>0</v>
      </c>
      <c r="E14" s="519"/>
      <c r="F14" s="516" t="s">
        <v>1047</v>
      </c>
      <c r="H14" s="512" t="s">
        <v>1048</v>
      </c>
      <c r="I14" s="512"/>
    </row>
    <row r="15" spans="1:9">
      <c r="A15" s="512"/>
      <c r="B15" s="512"/>
      <c r="D15" s="518">
        <f>(资产负债表!E33+资产负债表!E34)/资产负债表!E35</f>
        <v>0</v>
      </c>
      <c r="E15" s="519"/>
      <c r="F15" s="516" t="s">
        <v>1049</v>
      </c>
      <c r="H15" s="512"/>
      <c r="I15" s="512"/>
    </row>
    <row r="16" ht="18" spans="1:9">
      <c r="A16" s="513" t="str">
        <f>资产负债表!C3</f>
        <v>年    月    日</v>
      </c>
      <c r="B16" s="513"/>
      <c r="D16" s="518" t="e">
        <f>资产负债表!E14/利润表!B23</f>
        <v>#DIV/0!</v>
      </c>
      <c r="E16" s="519"/>
      <c r="F16" s="516" t="s">
        <v>1050</v>
      </c>
      <c r="H16" s="513" t="s">
        <v>408</v>
      </c>
      <c r="I16" s="513"/>
    </row>
    <row r="17" ht="18" spans="1:9">
      <c r="A17" s="514" t="s">
        <v>1051</v>
      </c>
      <c r="B17" s="514" t="s">
        <v>1032</v>
      </c>
      <c r="D17" s="520"/>
      <c r="E17" s="521"/>
      <c r="F17" s="516" t="s">
        <v>1052</v>
      </c>
      <c r="H17" s="514" t="s">
        <v>1051</v>
      </c>
      <c r="I17" s="514" t="s">
        <v>1032</v>
      </c>
    </row>
    <row r="18" spans="1:9">
      <c r="A18" s="516" t="s">
        <v>201</v>
      </c>
      <c r="B18" s="517">
        <f>资产负债表!B17</f>
        <v>616398</v>
      </c>
      <c r="D18" s="518">
        <f>资产负债表!E28/资产负债表!E37</f>
        <v>0.249479889042996</v>
      </c>
      <c r="E18" s="519"/>
      <c r="F18" s="516" t="s">
        <v>538</v>
      </c>
      <c r="H18" s="516" t="s">
        <v>201</v>
      </c>
      <c r="I18" s="517">
        <f>E11*I6</f>
        <v>0</v>
      </c>
    </row>
    <row r="19" spans="1:9">
      <c r="A19" s="516" t="s">
        <v>135</v>
      </c>
      <c r="B19" s="517">
        <f>资产负债表!B24</f>
        <v>88888</v>
      </c>
      <c r="D19" s="518">
        <f>(资产负债表!E6+资产负债表!E20+资产负债表!E21)/资产负债表!B37</f>
        <v>0.00755855327521434</v>
      </c>
      <c r="E19" s="519"/>
      <c r="F19" s="516" t="s">
        <v>1053</v>
      </c>
      <c r="H19" s="516" t="s">
        <v>135</v>
      </c>
      <c r="I19" s="517">
        <f>E13*I6</f>
        <v>0</v>
      </c>
    </row>
    <row r="20" spans="1:9">
      <c r="A20" s="516" t="s">
        <v>147</v>
      </c>
      <c r="B20" s="517">
        <f>资产负债表!B30</f>
        <v>0</v>
      </c>
      <c r="H20" s="516" t="s">
        <v>147</v>
      </c>
      <c r="I20" s="517">
        <f>E14*I6</f>
        <v>0</v>
      </c>
    </row>
    <row r="21" spans="1:9">
      <c r="A21" s="516" t="s">
        <v>160</v>
      </c>
      <c r="B21" s="517">
        <f>资产负债表!B37</f>
        <v>734929</v>
      </c>
      <c r="H21" s="516" t="s">
        <v>160</v>
      </c>
      <c r="I21" s="517">
        <f>B21*I6/利润表!B7</f>
        <v>734929</v>
      </c>
    </row>
    <row r="22" spans="1:9">
      <c r="A22" s="516" t="s">
        <v>106</v>
      </c>
      <c r="B22" s="517">
        <f>资产负债表!E9</f>
        <v>13313</v>
      </c>
      <c r="H22" s="516" t="s">
        <v>106</v>
      </c>
      <c r="I22" s="517">
        <f>E12*I6</f>
        <v>0</v>
      </c>
    </row>
    <row r="23" spans="1:9">
      <c r="A23" s="522" t="s">
        <v>118</v>
      </c>
      <c r="B23" s="523"/>
      <c r="H23" s="522" t="s">
        <v>118</v>
      </c>
      <c r="I23" s="523"/>
    </row>
    <row r="24" spans="1:9">
      <c r="A24" s="516" t="s">
        <v>200</v>
      </c>
      <c r="B24" s="517">
        <f>资产负债表!E18</f>
        <v>110803</v>
      </c>
      <c r="H24" s="516" t="s">
        <v>200</v>
      </c>
      <c r="I24" s="517">
        <f>I6*B24/利润表!B7</f>
        <v>110803</v>
      </c>
    </row>
    <row r="25" spans="1:9">
      <c r="A25" s="516" t="s">
        <v>1054</v>
      </c>
      <c r="B25" s="517">
        <f>资产负债表!E27</f>
        <v>0</v>
      </c>
      <c r="H25" s="516" t="s">
        <v>1054</v>
      </c>
      <c r="I25" s="517">
        <f>I21*E18-I24</f>
        <v>-110803</v>
      </c>
    </row>
    <row r="26" spans="1:9">
      <c r="A26" s="516" t="s">
        <v>205</v>
      </c>
      <c r="B26" s="517">
        <f>资产负债表!E35</f>
        <v>333333</v>
      </c>
      <c r="H26" s="516" t="s">
        <v>205</v>
      </c>
      <c r="I26" s="517">
        <f>B26+I13-E16*I13+E17*(1-E19)</f>
        <v>334667</v>
      </c>
    </row>
    <row r="27" spans="1:9">
      <c r="A27" s="516" t="s">
        <v>1055</v>
      </c>
      <c r="B27" s="517">
        <f>B24+B25+B26</f>
        <v>444136</v>
      </c>
      <c r="H27" s="516" t="s">
        <v>1055</v>
      </c>
      <c r="I27" s="517">
        <f>I24+I25+I26</f>
        <v>334667</v>
      </c>
    </row>
  </sheetData>
  <mergeCells count="12">
    <mergeCell ref="A1:I1"/>
    <mergeCell ref="A2:B2"/>
    <mergeCell ref="H2:I2"/>
    <mergeCell ref="A3:B3"/>
    <mergeCell ref="H3:I3"/>
    <mergeCell ref="A4:B4"/>
    <mergeCell ref="H4:I4"/>
    <mergeCell ref="A16:B16"/>
    <mergeCell ref="H16:I16"/>
    <mergeCell ref="A14:B15"/>
    <mergeCell ref="H14:I15"/>
    <mergeCell ref="D2:F4"/>
  </mergeCells>
  <conditionalFormatting sqref="I21">
    <cfRule type="cellIs" dxfId="7" priority="1" stopIfTrue="1" operator="notEqual">
      <formula>$I$27</formula>
    </cfRule>
  </conditionalFormatting>
  <conditionalFormatting sqref="I27">
    <cfRule type="cellIs" dxfId="7" priority="2" stopIfTrue="1" operator="notEqual">
      <formula>$I$21</formula>
    </cfRule>
  </conditionalFormatting>
  <dataValidations count="1">
    <dataValidation allowBlank="1" showInputMessage="1" showErrorMessage="1" sqref="I27"/>
  </dataValidations>
  <printOptions horizontalCentered="1"/>
  <pageMargins left="0.75" right="0.75" top="0.788888888888889" bottom="0.788888888888889" header="0.509027777777778" footer="0.509027777777778"/>
  <pageSetup paperSize="9" scale="70" orientation="landscape" horizontalDpi="300"/>
  <headerFooter alignWithMargins="0" scaleWithDoc="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E33"/>
  <sheetViews>
    <sheetView zoomScale="90" zoomScaleNormal="90" topLeftCell="A17" workbookViewId="0">
      <selection activeCell="G10" sqref="G10"/>
    </sheetView>
  </sheetViews>
  <sheetFormatPr defaultColWidth="9" defaultRowHeight="16.5" outlineLevelCol="4"/>
  <cols>
    <col min="1" max="5" width="23.875" style="485" customWidth="1"/>
    <col min="6" max="16384" width="9" style="485"/>
  </cols>
  <sheetData>
    <row r="1" ht="29.25" spans="1:5">
      <c r="A1" s="466" t="s">
        <v>1056</v>
      </c>
      <c r="B1" s="466"/>
      <c r="C1" s="466"/>
      <c r="D1" s="466"/>
      <c r="E1" s="466"/>
    </row>
    <row r="2" spans="1:5">
      <c r="A2" s="486"/>
      <c r="B2" s="486"/>
      <c r="E2" s="487" t="s">
        <v>198</v>
      </c>
    </row>
    <row r="3" spans="1:3">
      <c r="A3" s="488" t="s">
        <v>1057</v>
      </c>
      <c r="B3" s="488" t="s">
        <v>1058</v>
      </c>
      <c r="C3" s="488" t="s">
        <v>707</v>
      </c>
    </row>
    <row r="4" spans="1:4">
      <c r="A4" s="489" t="s">
        <v>1059</v>
      </c>
      <c r="B4" s="490"/>
      <c r="C4" s="491" t="s">
        <v>1060</v>
      </c>
      <c r="D4" s="492"/>
    </row>
    <row r="5" spans="1:4">
      <c r="A5" s="489" t="s">
        <v>1061</v>
      </c>
      <c r="B5" s="493"/>
      <c r="C5" s="491"/>
      <c r="D5" s="492"/>
    </row>
    <row r="6" spans="1:4">
      <c r="A6" s="489" t="s">
        <v>1062</v>
      </c>
      <c r="B6" s="493"/>
      <c r="C6" s="491"/>
      <c r="D6" s="492"/>
    </row>
    <row r="7" spans="1:4">
      <c r="A7" s="494"/>
      <c r="B7" s="494"/>
      <c r="C7" s="494"/>
      <c r="D7" s="495"/>
    </row>
    <row r="8" spans="1:4">
      <c r="A8" s="496" t="s">
        <v>1063</v>
      </c>
      <c r="B8" s="490"/>
      <c r="C8" s="497" t="s">
        <v>1064</v>
      </c>
      <c r="D8" s="495"/>
    </row>
    <row r="9" spans="1:4">
      <c r="A9" s="496" t="s">
        <v>1065</v>
      </c>
      <c r="B9" s="498" t="e">
        <f>B5*B4/B8</f>
        <v>#DIV/0!</v>
      </c>
      <c r="C9" s="499" t="s">
        <v>1066</v>
      </c>
      <c r="D9" s="495"/>
    </row>
    <row r="10" spans="1:4">
      <c r="A10" s="496" t="s">
        <v>1067</v>
      </c>
      <c r="B10" s="498">
        <f>B6*B8/2</f>
        <v>0</v>
      </c>
      <c r="C10" s="499"/>
      <c r="D10" s="495"/>
    </row>
    <row r="11" spans="1:4">
      <c r="A11" s="496" t="s">
        <v>1068</v>
      </c>
      <c r="B11" s="498" t="e">
        <f>B9+B10</f>
        <v>#DIV/0!</v>
      </c>
      <c r="C11" s="499"/>
      <c r="D11" s="495"/>
    </row>
    <row r="12" spans="1:4">
      <c r="A12" s="494"/>
      <c r="B12" s="494"/>
      <c r="C12" s="494"/>
      <c r="D12" s="495"/>
    </row>
    <row r="13" spans="1:4">
      <c r="A13" s="496" t="s">
        <v>1069</v>
      </c>
      <c r="B13" s="500" t="e">
        <f>SQRT(2*B4*B5/B6)</f>
        <v>#DIV/0!</v>
      </c>
      <c r="C13" s="501" t="s">
        <v>1070</v>
      </c>
      <c r="D13" s="495"/>
    </row>
    <row r="14" spans="1:4">
      <c r="A14" s="496" t="s">
        <v>1071</v>
      </c>
      <c r="B14" s="498" t="e">
        <f>B5*B4/B13</f>
        <v>#DIV/0!</v>
      </c>
      <c r="C14" s="501"/>
      <c r="D14" s="495"/>
    </row>
    <row r="15" spans="1:4">
      <c r="A15" s="496" t="s">
        <v>1072</v>
      </c>
      <c r="B15" s="498" t="e">
        <f>B6*B13/2</f>
        <v>#DIV/0!</v>
      </c>
      <c r="C15" s="501"/>
      <c r="D15" s="495"/>
    </row>
    <row r="16" spans="1:4">
      <c r="A16" s="496" t="s">
        <v>1073</v>
      </c>
      <c r="B16" s="498" t="e">
        <f>B14+B15</f>
        <v>#DIV/0!</v>
      </c>
      <c r="C16" s="501"/>
      <c r="D16" s="495"/>
    </row>
    <row r="17" spans="1:5">
      <c r="A17" s="502"/>
      <c r="B17" s="502"/>
      <c r="C17" s="502"/>
      <c r="D17" s="495"/>
      <c r="E17" s="503"/>
    </row>
    <row r="18" s="386" customFormat="1" spans="1:5">
      <c r="A18" s="471" t="s">
        <v>996</v>
      </c>
      <c r="B18" s="504" t="s">
        <v>1074</v>
      </c>
      <c r="C18" s="504" t="s">
        <v>1065</v>
      </c>
      <c r="D18" s="504" t="s">
        <v>1067</v>
      </c>
      <c r="E18" s="504" t="s">
        <v>1068</v>
      </c>
    </row>
    <row r="19" s="484" customFormat="1" spans="1:5">
      <c r="A19" s="479" t="s">
        <v>1075</v>
      </c>
      <c r="B19" s="500" t="e">
        <f>B13</f>
        <v>#DIV/0!</v>
      </c>
      <c r="C19" s="498" t="e">
        <f>B14</f>
        <v>#DIV/0!</v>
      </c>
      <c r="D19" s="498" t="e">
        <f>B15</f>
        <v>#DIV/0!</v>
      </c>
      <c r="E19" s="498" t="e">
        <f>B16</f>
        <v>#DIV/0!</v>
      </c>
    </row>
    <row r="20" s="484" customFormat="1" spans="1:5">
      <c r="A20" s="479" t="s">
        <v>1076</v>
      </c>
      <c r="B20" s="500">
        <f>B8</f>
        <v>0</v>
      </c>
      <c r="C20" s="505" t="e">
        <f>B9</f>
        <v>#DIV/0!</v>
      </c>
      <c r="D20" s="505">
        <f>B10</f>
        <v>0</v>
      </c>
      <c r="E20" s="505" t="e">
        <f>B11</f>
        <v>#DIV/0!</v>
      </c>
    </row>
    <row r="21" spans="1:5">
      <c r="A21" s="479" t="s">
        <v>1077</v>
      </c>
      <c r="B21" s="490"/>
      <c r="C21" s="506"/>
      <c r="D21" s="493"/>
      <c r="E21" s="493"/>
    </row>
    <row r="22" spans="1:5">
      <c r="A22" s="479"/>
      <c r="B22" s="490"/>
      <c r="C22" s="493"/>
      <c r="D22" s="493"/>
      <c r="E22" s="493"/>
    </row>
    <row r="23" spans="1:5">
      <c r="A23" s="479"/>
      <c r="B23" s="490"/>
      <c r="C23" s="493"/>
      <c r="D23" s="493"/>
      <c r="E23" s="493"/>
    </row>
    <row r="24" spans="1:5">
      <c r="A24" s="479"/>
      <c r="B24" s="490"/>
      <c r="C24" s="493"/>
      <c r="D24" s="493"/>
      <c r="E24" s="493"/>
    </row>
    <row r="25" spans="1:5">
      <c r="A25" s="479"/>
      <c r="B25" s="490"/>
      <c r="C25" s="493"/>
      <c r="D25" s="493"/>
      <c r="E25" s="493"/>
    </row>
    <row r="26" spans="1:5">
      <c r="A26" s="479"/>
      <c r="B26" s="490"/>
      <c r="C26" s="493"/>
      <c r="D26" s="493"/>
      <c r="E26" s="493"/>
    </row>
    <row r="27" spans="1:5">
      <c r="A27" s="479"/>
      <c r="B27" s="490"/>
      <c r="C27" s="493"/>
      <c r="D27" s="493"/>
      <c r="E27" s="493"/>
    </row>
    <row r="28" spans="1:5">
      <c r="A28" s="479"/>
      <c r="B28" s="490"/>
      <c r="C28" s="493"/>
      <c r="D28" s="493"/>
      <c r="E28" s="493"/>
    </row>
    <row r="29" spans="1:5">
      <c r="A29" s="479"/>
      <c r="B29" s="490"/>
      <c r="C29" s="493"/>
      <c r="D29" s="493"/>
      <c r="E29" s="493"/>
    </row>
    <row r="30" spans="1:5">
      <c r="A30" s="479"/>
      <c r="B30" s="490"/>
      <c r="C30" s="493"/>
      <c r="D30" s="493"/>
      <c r="E30" s="493"/>
    </row>
    <row r="31" spans="1:5">
      <c r="A31" s="479"/>
      <c r="B31" s="490"/>
      <c r="C31" s="493"/>
      <c r="D31" s="493"/>
      <c r="E31" s="493"/>
    </row>
    <row r="32" ht="20.1" customHeight="1"/>
    <row r="33" ht="20.1" customHeight="1"/>
  </sheetData>
  <mergeCells count="9">
    <mergeCell ref="A1:E1"/>
    <mergeCell ref="A2:B2"/>
    <mergeCell ref="A7:C7"/>
    <mergeCell ref="A12:C12"/>
    <mergeCell ref="A17:C17"/>
    <mergeCell ref="A21:A31"/>
    <mergeCell ref="C4:C6"/>
    <mergeCell ref="C9:C11"/>
    <mergeCell ref="C13:C16"/>
  </mergeCells>
  <printOptions horizontalCentered="1"/>
  <pageMargins left="0.55" right="0.55" top="0.979166666666667" bottom="0.979166666666667" header="0.509027777777778" footer="0.509027777777778"/>
  <pageSetup paperSize="9" orientation="portrait"/>
  <headerFooter alignWithMargins="0" scaleWithDoc="0"/>
  <drawing r:id="rId2"/>
  <legacyDrawing r:id="rId3"/>
  <oleObjects>
    <mc:AlternateContent xmlns:mc="http://schemas.openxmlformats.org/markup-compatibility/2006">
      <mc:Choice Requires="x14">
        <oleObject shapeId="217089" progId="Equation.3" r:id="rId4">
          <objectPr defaultSize="0" r:id="rId5">
            <anchor moveWithCells="1" sizeWithCells="1">
              <from>
                <xdr:col>3</xdr:col>
                <xdr:colOff>572135</xdr:colOff>
                <xdr:row>12</xdr:row>
                <xdr:rowOff>88900</xdr:rowOff>
              </from>
              <to>
                <xdr:col>4</xdr:col>
                <xdr:colOff>921385</xdr:colOff>
                <xdr:row>15</xdr:row>
                <xdr:rowOff>118745</xdr:rowOff>
              </to>
            </anchor>
          </objectPr>
        </oleObject>
      </mc:Choice>
      <mc:Fallback>
        <oleObject shapeId="217089" progId="Equation.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T39"/>
  <sheetViews>
    <sheetView showGridLines="0" zoomScale="90" zoomScaleNormal="90" topLeftCell="A10" workbookViewId="0">
      <selection activeCell="A1" sqref="A1:F1"/>
    </sheetView>
  </sheetViews>
  <sheetFormatPr defaultColWidth="8" defaultRowHeight="14.25"/>
  <cols>
    <col min="1" max="1" width="19.375" style="1114" customWidth="1"/>
    <col min="2" max="3" width="13.625" style="1114" customWidth="1"/>
    <col min="4" max="4" width="18.75" style="1114" customWidth="1"/>
    <col min="5" max="6" width="13.625" style="1114" customWidth="1"/>
    <col min="7" max="254" width="8" style="1114"/>
  </cols>
  <sheetData>
    <row r="1" s="1081" customFormat="1" ht="36.75" customHeight="1" spans="1:6">
      <c r="A1" s="1115" t="s">
        <v>90</v>
      </c>
      <c r="B1" s="1115"/>
      <c r="C1" s="1115"/>
      <c r="D1" s="1115"/>
      <c r="E1" s="1115"/>
      <c r="F1" s="1115"/>
    </row>
    <row r="2" s="1082" customFormat="1" ht="15" customHeight="1" spans="1:254">
      <c r="A2" s="1116"/>
      <c r="B2" s="1116"/>
      <c r="C2" s="1089"/>
      <c r="D2" s="1089"/>
      <c r="E2" s="1116"/>
      <c r="F2" s="1116"/>
      <c r="G2" s="1117"/>
      <c r="H2" s="1117"/>
      <c r="I2" s="1117"/>
      <c r="J2" s="1117"/>
      <c r="K2" s="1117"/>
      <c r="L2" s="1117"/>
      <c r="M2" s="1117"/>
      <c r="N2" s="1117"/>
      <c r="O2" s="1117"/>
      <c r="P2" s="1117"/>
      <c r="Q2" s="1117"/>
      <c r="R2" s="1117"/>
      <c r="S2" s="1117"/>
      <c r="T2" s="1117"/>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c r="AT2" s="1117"/>
      <c r="AU2" s="1117"/>
      <c r="AV2" s="1117"/>
      <c r="AW2" s="1117"/>
      <c r="AX2" s="1117"/>
      <c r="AY2" s="1117"/>
      <c r="AZ2" s="1117"/>
      <c r="BA2" s="1117"/>
      <c r="BB2" s="1117"/>
      <c r="BC2" s="1117"/>
      <c r="BD2" s="1117"/>
      <c r="BE2" s="1117"/>
      <c r="BF2" s="1117"/>
      <c r="BG2" s="1117"/>
      <c r="BH2" s="1117"/>
      <c r="BI2" s="1117"/>
      <c r="BJ2" s="1117"/>
      <c r="BK2" s="1117"/>
      <c r="BL2" s="1117"/>
      <c r="BM2" s="1117"/>
      <c r="BN2" s="1117"/>
      <c r="BO2" s="1117"/>
      <c r="BP2" s="1117"/>
      <c r="BQ2" s="1117"/>
      <c r="BR2" s="1117"/>
      <c r="BS2" s="1117"/>
      <c r="BT2" s="1117"/>
      <c r="BU2" s="1117"/>
      <c r="BV2" s="1117"/>
      <c r="BW2" s="1117"/>
      <c r="BX2" s="1117"/>
      <c r="BY2" s="1117"/>
      <c r="BZ2" s="1117"/>
      <c r="CA2" s="1117"/>
      <c r="CB2" s="1117"/>
      <c r="CC2" s="1117"/>
      <c r="CD2" s="1117"/>
      <c r="CE2" s="1117"/>
      <c r="CF2" s="1117"/>
      <c r="CG2" s="1117"/>
      <c r="CH2" s="1117"/>
      <c r="CI2" s="1117"/>
      <c r="CJ2" s="1117"/>
      <c r="CK2" s="1117"/>
      <c r="CL2" s="1117"/>
      <c r="CM2" s="1117"/>
      <c r="CN2" s="1117"/>
      <c r="CO2" s="1117"/>
      <c r="CP2" s="1117"/>
      <c r="CQ2" s="1117"/>
      <c r="CR2" s="1117"/>
      <c r="CS2" s="1117"/>
      <c r="CT2" s="1117"/>
      <c r="CU2" s="1117"/>
      <c r="CV2" s="1117"/>
      <c r="CW2" s="1117"/>
      <c r="CX2" s="1117"/>
      <c r="CY2" s="1117"/>
      <c r="CZ2" s="1117"/>
      <c r="DA2" s="1117"/>
      <c r="DB2" s="1117"/>
      <c r="DC2" s="1117"/>
      <c r="DD2" s="1117"/>
      <c r="DE2" s="1117"/>
      <c r="DF2" s="1117"/>
      <c r="DG2" s="1117"/>
      <c r="DH2" s="1117"/>
      <c r="DI2" s="1117"/>
      <c r="DJ2" s="1117"/>
      <c r="DK2" s="1117"/>
      <c r="DL2" s="1117"/>
      <c r="DM2" s="1117"/>
      <c r="DN2" s="1117"/>
      <c r="DO2" s="1117"/>
      <c r="DP2" s="1117"/>
      <c r="DQ2" s="1117"/>
      <c r="DR2" s="1117"/>
      <c r="DS2" s="1117"/>
      <c r="DT2" s="1117"/>
      <c r="DU2" s="1117"/>
      <c r="DV2" s="1117"/>
      <c r="DW2" s="1117"/>
      <c r="DX2" s="1117"/>
      <c r="DY2" s="1117"/>
      <c r="DZ2" s="1117"/>
      <c r="EA2" s="1117"/>
      <c r="EB2" s="1117"/>
      <c r="EC2" s="1117"/>
      <c r="ED2" s="1117"/>
      <c r="EE2" s="1117"/>
      <c r="EF2" s="1117"/>
      <c r="EG2" s="1117"/>
      <c r="EH2" s="1117"/>
      <c r="EI2" s="1117"/>
      <c r="EJ2" s="1117"/>
      <c r="EK2" s="1117"/>
      <c r="EL2" s="1117"/>
      <c r="EM2" s="1117"/>
      <c r="EN2" s="1117"/>
      <c r="EO2" s="1117"/>
      <c r="EP2" s="1117"/>
      <c r="EQ2" s="1117"/>
      <c r="ER2" s="1117"/>
      <c r="ES2" s="1117"/>
      <c r="ET2" s="1117"/>
      <c r="EU2" s="1117"/>
      <c r="EV2" s="1117"/>
      <c r="EW2" s="1117"/>
      <c r="EX2" s="1117"/>
      <c r="EY2" s="1117"/>
      <c r="EZ2" s="1117"/>
      <c r="FA2" s="1117"/>
      <c r="FB2" s="1117"/>
      <c r="FC2" s="1117"/>
      <c r="FD2" s="1117"/>
      <c r="FE2" s="1117"/>
      <c r="FF2" s="1117"/>
      <c r="FG2" s="1117"/>
      <c r="FH2" s="1117"/>
      <c r="FI2" s="1117"/>
      <c r="FJ2" s="1117"/>
      <c r="FK2" s="1117"/>
      <c r="FL2" s="1117"/>
      <c r="FM2" s="1117"/>
      <c r="FN2" s="1117"/>
      <c r="FO2" s="1117"/>
      <c r="FP2" s="1117"/>
      <c r="FQ2" s="1117"/>
      <c r="FR2" s="1117"/>
      <c r="FS2" s="1117"/>
      <c r="FT2" s="1117"/>
      <c r="FU2" s="1117"/>
      <c r="FV2" s="1117"/>
      <c r="FW2" s="1117"/>
      <c r="FX2" s="1117"/>
      <c r="FY2" s="1117"/>
      <c r="FZ2" s="1117"/>
      <c r="GA2" s="1117"/>
      <c r="GB2" s="1117"/>
      <c r="GC2" s="1117"/>
      <c r="GD2" s="1117"/>
      <c r="GE2" s="1117"/>
      <c r="GF2" s="1117"/>
      <c r="GG2" s="1117"/>
      <c r="GH2" s="1117"/>
      <c r="GI2" s="1117"/>
      <c r="GJ2" s="1117"/>
      <c r="GK2" s="1117"/>
      <c r="GL2" s="1117"/>
      <c r="GM2" s="1117"/>
      <c r="GN2" s="1117"/>
      <c r="GO2" s="1117"/>
      <c r="GP2" s="1117"/>
      <c r="GQ2" s="1117"/>
      <c r="GR2" s="1117"/>
      <c r="GS2" s="1117"/>
      <c r="GT2" s="1117"/>
      <c r="GU2" s="1117"/>
      <c r="GV2" s="1117"/>
      <c r="GW2" s="1117"/>
      <c r="GX2" s="1117"/>
      <c r="GY2" s="1117"/>
      <c r="GZ2" s="1117"/>
      <c r="HA2" s="1117"/>
      <c r="HB2" s="1117"/>
      <c r="HC2" s="1117"/>
      <c r="HD2" s="1117"/>
      <c r="HE2" s="1117"/>
      <c r="HF2" s="1117"/>
      <c r="HG2" s="1117"/>
      <c r="HH2" s="1117"/>
      <c r="HI2" s="1117"/>
      <c r="HJ2" s="1117"/>
      <c r="HK2" s="1117"/>
      <c r="HL2" s="1117"/>
      <c r="HM2" s="1117"/>
      <c r="HN2" s="1117"/>
      <c r="HO2" s="1117"/>
      <c r="HP2" s="1117"/>
      <c r="HQ2" s="1117"/>
      <c r="HR2" s="1117"/>
      <c r="HS2" s="1117"/>
      <c r="HT2" s="1117"/>
      <c r="HU2" s="1117"/>
      <c r="HV2" s="1117"/>
      <c r="HW2" s="1117"/>
      <c r="HX2" s="1117"/>
      <c r="HY2" s="1117"/>
      <c r="HZ2" s="1117"/>
      <c r="IA2" s="1117"/>
      <c r="IB2" s="1117"/>
      <c r="IC2" s="1117"/>
      <c r="ID2" s="1117"/>
      <c r="IE2" s="1117"/>
      <c r="IF2" s="1117"/>
      <c r="IG2" s="1117"/>
      <c r="IH2" s="1117"/>
      <c r="II2" s="1117"/>
      <c r="IJ2" s="1117"/>
      <c r="IK2" s="1117"/>
      <c r="IL2" s="1117"/>
      <c r="IM2" s="1117"/>
      <c r="IN2" s="1117"/>
      <c r="IO2" s="1117"/>
      <c r="IP2" s="1117"/>
      <c r="IQ2" s="1117"/>
      <c r="IR2" s="1117"/>
      <c r="IS2" s="1117"/>
      <c r="IT2" s="1117"/>
    </row>
    <row r="3" s="1083" customFormat="1" ht="17.1" customHeight="1" spans="1:6">
      <c r="A3" s="1090"/>
      <c r="B3" s="1090"/>
      <c r="C3" s="1091" t="s">
        <v>91</v>
      </c>
      <c r="D3" s="1091"/>
      <c r="E3" s="1090"/>
      <c r="F3" s="1092" t="s">
        <v>92</v>
      </c>
    </row>
    <row r="4" s="1084" customFormat="1" ht="20.1" customHeight="1" spans="1:6">
      <c r="A4" s="1094" t="s">
        <v>93</v>
      </c>
      <c r="B4" s="1094" t="s">
        <v>94</v>
      </c>
      <c r="C4" s="1094" t="s">
        <v>95</v>
      </c>
      <c r="D4" s="1094" t="s">
        <v>96</v>
      </c>
      <c r="E4" s="1094" t="s">
        <v>94</v>
      </c>
      <c r="F4" s="1094" t="s">
        <v>95</v>
      </c>
    </row>
    <row r="5" s="1083" customFormat="1" ht="20.1" customHeight="1" spans="1:6">
      <c r="A5" s="1096" t="s">
        <v>97</v>
      </c>
      <c r="B5" s="1096"/>
      <c r="C5" s="1096"/>
      <c r="D5" s="1096" t="s">
        <v>98</v>
      </c>
      <c r="E5" s="1096"/>
      <c r="F5" s="1096"/>
    </row>
    <row r="6" s="1083" customFormat="1" ht="20.1" customHeight="1" spans="1:6">
      <c r="A6" s="1098" t="s">
        <v>99</v>
      </c>
      <c r="B6" s="1118">
        <v>4559</v>
      </c>
      <c r="C6" s="1118">
        <v>7889</v>
      </c>
      <c r="D6" s="1098" t="s">
        <v>100</v>
      </c>
      <c r="E6" s="1118">
        <v>5555</v>
      </c>
      <c r="F6" s="1118">
        <v>66666</v>
      </c>
    </row>
    <row r="7" s="1083" customFormat="1" ht="20.1" customHeight="1" spans="1:6">
      <c r="A7" s="1098" t="s">
        <v>101</v>
      </c>
      <c r="B7" s="1118">
        <v>13414</v>
      </c>
      <c r="C7" s="1118">
        <v>14411</v>
      </c>
      <c r="D7" s="1098" t="s">
        <v>102</v>
      </c>
      <c r="E7" s="1118"/>
      <c r="F7" s="1118"/>
    </row>
    <row r="8" s="1083" customFormat="1" ht="20.1" customHeight="1" spans="1:6">
      <c r="A8" s="1098" t="s">
        <v>103</v>
      </c>
      <c r="B8" s="1118">
        <v>1441</v>
      </c>
      <c r="C8" s="1118">
        <v>414</v>
      </c>
      <c r="D8" s="1098" t="s">
        <v>104</v>
      </c>
      <c r="E8" s="1118">
        <v>66666</v>
      </c>
      <c r="F8" s="1118">
        <v>333333</v>
      </c>
    </row>
    <row r="9" s="1083" customFormat="1" ht="20.1" customHeight="1" spans="1:6">
      <c r="A9" s="1098" t="s">
        <v>105</v>
      </c>
      <c r="B9" s="1118">
        <v>522445</v>
      </c>
      <c r="C9" s="1118">
        <v>555555</v>
      </c>
      <c r="D9" s="1098" t="s">
        <v>106</v>
      </c>
      <c r="E9" s="1118">
        <v>13313</v>
      </c>
      <c r="F9" s="1118">
        <v>113444</v>
      </c>
    </row>
    <row r="10" s="1083" customFormat="1" ht="20.1" customHeight="1" spans="1:6">
      <c r="A10" s="1098" t="s">
        <v>107</v>
      </c>
      <c r="B10" s="1118">
        <v>521</v>
      </c>
      <c r="C10" s="1118">
        <v>6777</v>
      </c>
      <c r="D10" s="1098" t="s">
        <v>108</v>
      </c>
      <c r="E10" s="1118">
        <v>1333</v>
      </c>
      <c r="F10" s="1118"/>
    </row>
    <row r="11" s="1083" customFormat="1" ht="20.1" customHeight="1" spans="1:6">
      <c r="A11" s="1098" t="s">
        <v>109</v>
      </c>
      <c r="B11" s="1118">
        <v>66666</v>
      </c>
      <c r="C11" s="1118">
        <v>67777</v>
      </c>
      <c r="D11" s="1098" t="s">
        <v>110</v>
      </c>
      <c r="E11" s="1118">
        <v>13311</v>
      </c>
      <c r="F11" s="1119">
        <v>1113</v>
      </c>
    </row>
    <row r="12" s="1083" customFormat="1" ht="20.1" customHeight="1" spans="1:6">
      <c r="A12" s="1098" t="s">
        <v>111</v>
      </c>
      <c r="B12" s="1118"/>
      <c r="C12" s="1118"/>
      <c r="D12" s="1098" t="s">
        <v>112</v>
      </c>
      <c r="E12" s="1120">
        <v>1333</v>
      </c>
      <c r="F12" s="1121">
        <v>1131</v>
      </c>
    </row>
    <row r="13" s="1083" customFormat="1" ht="20.1" customHeight="1" spans="1:6">
      <c r="A13" s="1098" t="s">
        <v>113</v>
      </c>
      <c r="B13" s="1118">
        <v>666</v>
      </c>
      <c r="C13" s="1118">
        <v>7777</v>
      </c>
      <c r="D13" s="1098" t="s">
        <v>114</v>
      </c>
      <c r="E13" s="1118">
        <v>6666</v>
      </c>
      <c r="F13" s="1122">
        <v>3333</v>
      </c>
    </row>
    <row r="14" s="1083" customFormat="1" ht="20.1" customHeight="1" spans="1:6">
      <c r="A14" s="1098" t="s">
        <v>115</v>
      </c>
      <c r="B14" s="1118">
        <v>6353</v>
      </c>
      <c r="C14" s="1118">
        <v>6666</v>
      </c>
      <c r="D14" s="1098" t="s">
        <v>116</v>
      </c>
      <c r="E14" s="1118">
        <v>1313</v>
      </c>
      <c r="F14" s="1118">
        <v>1313</v>
      </c>
    </row>
    <row r="15" s="1083" customFormat="1" ht="20.1" customHeight="1" spans="1:6">
      <c r="A15" s="1098" t="s">
        <v>117</v>
      </c>
      <c r="B15" s="1118"/>
      <c r="C15" s="1118"/>
      <c r="D15" s="1098" t="s">
        <v>118</v>
      </c>
      <c r="E15" s="1118">
        <v>1313</v>
      </c>
      <c r="F15" s="1118">
        <v>13333</v>
      </c>
    </row>
    <row r="16" s="1083" customFormat="1" ht="20.1" customHeight="1" spans="1:6">
      <c r="A16" s="1098" t="s">
        <v>119</v>
      </c>
      <c r="B16" s="1118">
        <v>333</v>
      </c>
      <c r="C16" s="1118">
        <v>6666</v>
      </c>
      <c r="D16" s="1098" t="s">
        <v>120</v>
      </c>
      <c r="E16" s="1118"/>
      <c r="F16" s="1118"/>
    </row>
    <row r="17" s="1083" customFormat="1" ht="20.1" customHeight="1" spans="1:6">
      <c r="A17" s="1123" t="s">
        <v>121</v>
      </c>
      <c r="B17" s="1124">
        <f>SUM(B6:B16)</f>
        <v>616398</v>
      </c>
      <c r="C17" s="1124">
        <f>SUM(C6:C16)</f>
        <v>673932</v>
      </c>
      <c r="D17" s="1098" t="s">
        <v>122</v>
      </c>
      <c r="E17" s="1118"/>
      <c r="F17" s="1118"/>
    </row>
    <row r="18" s="1083" customFormat="1" ht="20.1" customHeight="1" spans="1:6">
      <c r="A18" s="1096" t="s">
        <v>123</v>
      </c>
      <c r="B18" s="1103"/>
      <c r="C18" s="1103"/>
      <c r="D18" s="1123" t="s">
        <v>124</v>
      </c>
      <c r="E18" s="1124">
        <f>SUM(E6:E17)</f>
        <v>110803</v>
      </c>
      <c r="F18" s="1124">
        <f>SUM(F6:F17)</f>
        <v>533666</v>
      </c>
    </row>
    <row r="19" s="1083" customFormat="1" ht="20.1" customHeight="1" spans="1:6">
      <c r="A19" s="1098" t="s">
        <v>125</v>
      </c>
      <c r="B19" s="1118">
        <v>3333</v>
      </c>
      <c r="C19" s="1118">
        <v>5355</v>
      </c>
      <c r="D19" s="1096" t="s">
        <v>126</v>
      </c>
      <c r="E19" s="1103"/>
      <c r="F19" s="1103"/>
    </row>
    <row r="20" s="1083" customFormat="1" ht="20.1" customHeight="1" spans="1:6">
      <c r="A20" s="1098" t="s">
        <v>127</v>
      </c>
      <c r="B20" s="1118"/>
      <c r="C20" s="1118"/>
      <c r="D20" s="1098" t="s">
        <v>128</v>
      </c>
      <c r="E20" s="1118"/>
      <c r="F20" s="1118"/>
    </row>
    <row r="21" s="1083" customFormat="1" ht="20.1" customHeight="1" spans="1:6">
      <c r="A21" s="1098" t="s">
        <v>129</v>
      </c>
      <c r="B21" s="1118">
        <v>553</v>
      </c>
      <c r="C21" s="1118">
        <v>353</v>
      </c>
      <c r="D21" s="1098" t="s">
        <v>130</v>
      </c>
      <c r="E21" s="1118"/>
      <c r="F21" s="1118"/>
    </row>
    <row r="22" s="1083" customFormat="1" ht="20.1" customHeight="1" spans="1:6">
      <c r="A22" s="1098" t="s">
        <v>131</v>
      </c>
      <c r="B22" s="1118"/>
      <c r="C22" s="1118"/>
      <c r="D22" s="1098" t="s">
        <v>132</v>
      </c>
      <c r="E22" s="1118"/>
      <c r="F22" s="1118"/>
    </row>
    <row r="23" s="1083" customFormat="1" ht="20.1" customHeight="1" spans="1:6">
      <c r="A23" s="1098" t="s">
        <v>133</v>
      </c>
      <c r="B23" s="1118">
        <v>3535</v>
      </c>
      <c r="C23" s="1118">
        <v>3535</v>
      </c>
      <c r="D23" s="1098" t="s">
        <v>134</v>
      </c>
      <c r="E23" s="1118"/>
      <c r="F23" s="1118"/>
    </row>
    <row r="24" s="1083" customFormat="1" ht="20.1" customHeight="1" spans="1:6">
      <c r="A24" s="1098" t="s">
        <v>135</v>
      </c>
      <c r="B24" s="1118">
        <v>88888</v>
      </c>
      <c r="C24" s="1083">
        <v>666666</v>
      </c>
      <c r="D24" s="1098" t="s">
        <v>136</v>
      </c>
      <c r="E24" s="1118"/>
      <c r="F24" s="1118"/>
    </row>
    <row r="25" s="1083" customFormat="1" ht="20.1" customHeight="1" spans="1:6">
      <c r="A25" s="1098" t="s">
        <v>137</v>
      </c>
      <c r="B25" s="1118">
        <v>22222</v>
      </c>
      <c r="C25" s="1118">
        <v>22</v>
      </c>
      <c r="D25" s="1098" t="s">
        <v>138</v>
      </c>
      <c r="E25" s="1118"/>
      <c r="F25" s="1118"/>
    </row>
    <row r="26" s="1083" customFormat="1" ht="20.1" customHeight="1" spans="1:6">
      <c r="A26" s="1098" t="s">
        <v>139</v>
      </c>
      <c r="B26" s="1118"/>
      <c r="C26" s="1118">
        <v>335</v>
      </c>
      <c r="D26" s="1098" t="s">
        <v>140</v>
      </c>
      <c r="E26" s="1118"/>
      <c r="F26" s="1118"/>
    </row>
    <row r="27" s="1083" customFormat="1" ht="20.1" customHeight="1" spans="1:6">
      <c r="A27" s="1098" t="s">
        <v>141</v>
      </c>
      <c r="B27" s="1118"/>
      <c r="C27" s="1118"/>
      <c r="D27" s="1123" t="s">
        <v>142</v>
      </c>
      <c r="E27" s="1124">
        <f>SUM(E20:E26)</f>
        <v>0</v>
      </c>
      <c r="F27" s="1124">
        <f>SUM(F20:F26)</f>
        <v>0</v>
      </c>
    </row>
    <row r="28" s="1083" customFormat="1" ht="20.1" customHeight="1" spans="1:6">
      <c r="A28" s="1098" t="s">
        <v>143</v>
      </c>
      <c r="B28" s="1118"/>
      <c r="C28" s="1118"/>
      <c r="D28" s="1123" t="s">
        <v>144</v>
      </c>
      <c r="E28" s="1124">
        <f>E18+E27</f>
        <v>110803</v>
      </c>
      <c r="F28" s="1124">
        <f>F18+F27</f>
        <v>533666</v>
      </c>
    </row>
    <row r="29" s="1083" customFormat="1" ht="20.1" customHeight="1" spans="1:6">
      <c r="A29" s="1098" t="s">
        <v>145</v>
      </c>
      <c r="B29" s="1118"/>
      <c r="C29" s="1118"/>
      <c r="D29" s="1096" t="s">
        <v>146</v>
      </c>
      <c r="E29" s="1103"/>
      <c r="F29" s="1103"/>
    </row>
    <row r="30" s="1083" customFormat="1" ht="20.1" customHeight="1" spans="1:6">
      <c r="A30" s="1098" t="s">
        <v>147</v>
      </c>
      <c r="B30" s="1118"/>
      <c r="C30" s="1118"/>
      <c r="D30" s="1098" t="s">
        <v>148</v>
      </c>
      <c r="E30" s="1118">
        <v>333333</v>
      </c>
      <c r="F30" s="1118">
        <v>333333</v>
      </c>
    </row>
    <row r="31" s="1083" customFormat="1" ht="20.1" customHeight="1" spans="1:6">
      <c r="A31" s="1098" t="s">
        <v>149</v>
      </c>
      <c r="B31" s="1118"/>
      <c r="C31" s="1118"/>
      <c r="D31" s="1098" t="s">
        <v>150</v>
      </c>
      <c r="E31" s="1118"/>
      <c r="F31" s="1118"/>
    </row>
    <row r="32" s="1083" customFormat="1" ht="20.1" customHeight="1" spans="1:6">
      <c r="A32" s="1098" t="s">
        <v>151</v>
      </c>
      <c r="B32" s="1118"/>
      <c r="C32" s="1118"/>
      <c r="D32" s="1098" t="s">
        <v>152</v>
      </c>
      <c r="E32" s="1118"/>
      <c r="F32" s="1118"/>
    </row>
    <row r="33" s="1083" customFormat="1" ht="20.1" customHeight="1" spans="1:6">
      <c r="A33" s="1098" t="s">
        <v>153</v>
      </c>
      <c r="B33" s="1118"/>
      <c r="C33" s="1118"/>
      <c r="D33" s="1098" t="s">
        <v>154</v>
      </c>
      <c r="E33" s="1118"/>
      <c r="F33" s="1118"/>
    </row>
    <row r="34" s="1083" customFormat="1" ht="20.1" customHeight="1" spans="1:6">
      <c r="A34" s="1098" t="s">
        <v>155</v>
      </c>
      <c r="B34" s="1118"/>
      <c r="C34" s="1118"/>
      <c r="D34" s="1098" t="s">
        <v>156</v>
      </c>
      <c r="E34" s="1118"/>
      <c r="F34" s="1118"/>
    </row>
    <row r="35" s="1083" customFormat="1" ht="20.1" customHeight="1" spans="1:6">
      <c r="A35" s="1098" t="s">
        <v>157</v>
      </c>
      <c r="B35" s="1118"/>
      <c r="C35" s="1118"/>
      <c r="D35" s="1123" t="s">
        <v>158</v>
      </c>
      <c r="E35" s="1124">
        <f>E30+E31-E32+E33+E34</f>
        <v>333333</v>
      </c>
      <c r="F35" s="1124">
        <f>F30+F31-F32+F33+F34</f>
        <v>333333</v>
      </c>
    </row>
    <row r="36" s="1083" customFormat="1" ht="20.1" customHeight="1" spans="1:6">
      <c r="A36" s="1123" t="s">
        <v>159</v>
      </c>
      <c r="B36" s="1124">
        <f>SUM(B19:B35)</f>
        <v>118531</v>
      </c>
      <c r="C36" s="1124">
        <f>SUM(C19:C35)</f>
        <v>676266</v>
      </c>
      <c r="D36" s="1098"/>
      <c r="E36" s="1118"/>
      <c r="F36" s="1118"/>
    </row>
    <row r="37" s="1083" customFormat="1" ht="20.1" customHeight="1" spans="1:6">
      <c r="A37" s="1123" t="s">
        <v>160</v>
      </c>
      <c r="B37" s="1124">
        <f>B17+B36</f>
        <v>734929</v>
      </c>
      <c r="C37" s="1124">
        <f>C17+C36</f>
        <v>1350198</v>
      </c>
      <c r="D37" s="1123" t="s">
        <v>161</v>
      </c>
      <c r="E37" s="1124">
        <f>E28+E35</f>
        <v>444136</v>
      </c>
      <c r="F37" s="1124">
        <f>F28+F35</f>
        <v>866999</v>
      </c>
    </row>
    <row r="38" s="1085" customFormat="1" ht="20.1" customHeight="1" spans="1:6">
      <c r="A38" s="1125"/>
      <c r="B38" s="1126"/>
      <c r="C38" s="1126"/>
      <c r="D38" s="1125"/>
      <c r="E38" s="1126"/>
      <c r="F38" s="1126"/>
    </row>
    <row r="39" spans="1:6">
      <c r="A39" s="1127"/>
      <c r="B39" s="1127"/>
      <c r="C39" s="1127"/>
      <c r="D39" s="1127"/>
      <c r="E39" s="1127"/>
      <c r="F39" s="1127"/>
    </row>
  </sheetData>
  <mergeCells count="3">
    <mergeCell ref="A1:F1"/>
    <mergeCell ref="C3:D3"/>
    <mergeCell ref="A39:F39"/>
  </mergeCells>
  <printOptions horizontalCentered="1"/>
  <pageMargins left="0.349305555555556" right="0.349305555555556" top="0.788888888888889" bottom="0.788888888888889" header="0.509027777777778" footer="0.509027777777778"/>
  <pageSetup paperSize="256" scale="95" orientation="portrait" horizontalDpi="180"/>
  <headerFooter alignWithMargins="0" scaleWithDoc="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IV11"/>
  <sheetViews>
    <sheetView zoomScale="90" zoomScaleNormal="90" workbookViewId="0">
      <selection activeCell="B7" sqref="B7"/>
    </sheetView>
  </sheetViews>
  <sheetFormatPr defaultColWidth="9" defaultRowHeight="14.25"/>
  <cols>
    <col min="1" max="4" width="30.5" style="438" customWidth="1"/>
    <col min="5" max="253" width="9" style="438"/>
    <col min="254" max="16384" width="9" style="465"/>
  </cols>
  <sheetData>
    <row r="1" ht="24.95" customHeight="1" spans="1:4">
      <c r="A1" s="466" t="s">
        <v>1078</v>
      </c>
      <c r="B1" s="466"/>
      <c r="C1" s="466"/>
      <c r="D1" s="466"/>
    </row>
    <row r="2" ht="24.95" customHeight="1" spans="1:4">
      <c r="A2" s="467"/>
      <c r="B2" s="467"/>
      <c r="C2" s="468"/>
      <c r="D2" s="468" t="s">
        <v>198</v>
      </c>
    </row>
    <row r="3" s="414" customFormat="1" ht="24.95" customHeight="1" spans="1:256">
      <c r="A3" s="469" t="s">
        <v>168</v>
      </c>
      <c r="B3" s="470" t="s">
        <v>1079</v>
      </c>
      <c r="C3" s="470"/>
      <c r="D3" s="471" t="s">
        <v>1080</v>
      </c>
      <c r="E3" s="438"/>
      <c r="F3" s="438"/>
      <c r="G3" s="438"/>
      <c r="H3" s="438"/>
      <c r="I3" s="438"/>
      <c r="J3" s="438"/>
      <c r="K3" s="438"/>
      <c r="L3" s="438"/>
      <c r="M3" s="438"/>
      <c r="N3" s="438"/>
      <c r="O3" s="438"/>
      <c r="P3" s="438"/>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c r="AW3" s="438"/>
      <c r="AX3" s="438"/>
      <c r="AY3" s="438"/>
      <c r="AZ3" s="438"/>
      <c r="BA3" s="438"/>
      <c r="BB3" s="438"/>
      <c r="BC3" s="438"/>
      <c r="BD3" s="438"/>
      <c r="BE3" s="438"/>
      <c r="BF3" s="438"/>
      <c r="BG3" s="438"/>
      <c r="BH3" s="438"/>
      <c r="BI3" s="438"/>
      <c r="BJ3" s="438"/>
      <c r="BK3" s="438"/>
      <c r="BL3" s="438"/>
      <c r="BM3" s="438"/>
      <c r="BN3" s="438"/>
      <c r="BO3" s="438"/>
      <c r="BP3" s="438"/>
      <c r="BQ3" s="438"/>
      <c r="BR3" s="438"/>
      <c r="BS3" s="438"/>
      <c r="BT3" s="438"/>
      <c r="BU3" s="438"/>
      <c r="BV3" s="438"/>
      <c r="BW3" s="438"/>
      <c r="BX3" s="438"/>
      <c r="BY3" s="438"/>
      <c r="BZ3" s="438"/>
      <c r="CA3" s="438"/>
      <c r="CB3" s="438"/>
      <c r="CC3" s="438"/>
      <c r="CD3" s="438"/>
      <c r="CE3" s="438"/>
      <c r="CF3" s="438"/>
      <c r="CG3" s="438"/>
      <c r="CH3" s="438"/>
      <c r="CI3" s="438"/>
      <c r="CJ3" s="438"/>
      <c r="CK3" s="438"/>
      <c r="CL3" s="438"/>
      <c r="CM3" s="438"/>
      <c r="CN3" s="438"/>
      <c r="CO3" s="438"/>
      <c r="CP3" s="438"/>
      <c r="CQ3" s="438"/>
      <c r="CR3" s="438"/>
      <c r="CS3" s="438"/>
      <c r="CT3" s="438"/>
      <c r="CU3" s="438"/>
      <c r="CV3" s="438"/>
      <c r="CW3" s="438"/>
      <c r="CX3" s="438"/>
      <c r="CY3" s="438"/>
      <c r="CZ3" s="438"/>
      <c r="DA3" s="438"/>
      <c r="DB3" s="438"/>
      <c r="DC3" s="438"/>
      <c r="DD3" s="438"/>
      <c r="DE3" s="438"/>
      <c r="DF3" s="438"/>
      <c r="DG3" s="438"/>
      <c r="DH3" s="438"/>
      <c r="DI3" s="438"/>
      <c r="DJ3" s="438"/>
      <c r="DK3" s="438"/>
      <c r="DL3" s="438"/>
      <c r="DM3" s="438"/>
      <c r="DN3" s="438"/>
      <c r="DO3" s="438"/>
      <c r="DP3" s="438"/>
      <c r="DQ3" s="438"/>
      <c r="DR3" s="438"/>
      <c r="DS3" s="438"/>
      <c r="DT3" s="438"/>
      <c r="DU3" s="438"/>
      <c r="DV3" s="438"/>
      <c r="DW3" s="438"/>
      <c r="DX3" s="438"/>
      <c r="DY3" s="438"/>
      <c r="DZ3" s="438"/>
      <c r="EA3" s="438"/>
      <c r="EB3" s="438"/>
      <c r="EC3" s="438"/>
      <c r="ED3" s="438"/>
      <c r="EE3" s="438"/>
      <c r="EF3" s="438"/>
      <c r="EG3" s="438"/>
      <c r="EH3" s="438"/>
      <c r="EI3" s="438"/>
      <c r="EJ3" s="438"/>
      <c r="EK3" s="438"/>
      <c r="EL3" s="438"/>
      <c r="EM3" s="438"/>
      <c r="EN3" s="438"/>
      <c r="EO3" s="438"/>
      <c r="EP3" s="438"/>
      <c r="EQ3" s="438"/>
      <c r="ER3" s="438"/>
      <c r="ES3" s="438"/>
      <c r="ET3" s="438"/>
      <c r="EU3" s="438"/>
      <c r="EV3" s="438"/>
      <c r="EW3" s="438"/>
      <c r="EX3" s="438"/>
      <c r="EY3" s="438"/>
      <c r="EZ3" s="438"/>
      <c r="FA3" s="438"/>
      <c r="FB3" s="438"/>
      <c r="FC3" s="438"/>
      <c r="FD3" s="438"/>
      <c r="FE3" s="438"/>
      <c r="FF3" s="438"/>
      <c r="FG3" s="438"/>
      <c r="FH3" s="438"/>
      <c r="FI3" s="438"/>
      <c r="FJ3" s="438"/>
      <c r="FK3" s="438"/>
      <c r="FL3" s="438"/>
      <c r="FM3" s="438"/>
      <c r="FN3" s="438"/>
      <c r="FO3" s="438"/>
      <c r="FP3" s="438"/>
      <c r="FQ3" s="438"/>
      <c r="FR3" s="438"/>
      <c r="FS3" s="438"/>
      <c r="FT3" s="438"/>
      <c r="FU3" s="438"/>
      <c r="FV3" s="438"/>
      <c r="FW3" s="438"/>
      <c r="FX3" s="438"/>
      <c r="FY3" s="438"/>
      <c r="FZ3" s="438"/>
      <c r="GA3" s="438"/>
      <c r="GB3" s="438"/>
      <c r="GC3" s="438"/>
      <c r="GD3" s="438"/>
      <c r="GE3" s="438"/>
      <c r="GF3" s="438"/>
      <c r="GG3" s="438"/>
      <c r="GH3" s="438"/>
      <c r="GI3" s="438"/>
      <c r="GJ3" s="438"/>
      <c r="GK3" s="438"/>
      <c r="GL3" s="438"/>
      <c r="GM3" s="438"/>
      <c r="GN3" s="438"/>
      <c r="GO3" s="438"/>
      <c r="GP3" s="438"/>
      <c r="GQ3" s="438"/>
      <c r="GR3" s="438"/>
      <c r="GS3" s="438"/>
      <c r="GT3" s="438"/>
      <c r="GU3" s="438"/>
      <c r="GV3" s="438"/>
      <c r="GW3" s="438"/>
      <c r="GX3" s="438"/>
      <c r="GY3" s="438"/>
      <c r="GZ3" s="438"/>
      <c r="HA3" s="438"/>
      <c r="HB3" s="438"/>
      <c r="HC3" s="438"/>
      <c r="HD3" s="438"/>
      <c r="HE3" s="438"/>
      <c r="HF3" s="438"/>
      <c r="HG3" s="438"/>
      <c r="HH3" s="438"/>
      <c r="HI3" s="438"/>
      <c r="HJ3" s="438"/>
      <c r="HK3" s="438"/>
      <c r="HL3" s="438"/>
      <c r="HM3" s="438"/>
      <c r="HN3" s="438"/>
      <c r="HO3" s="438"/>
      <c r="HP3" s="438"/>
      <c r="HQ3" s="438"/>
      <c r="HR3" s="438"/>
      <c r="HS3" s="438"/>
      <c r="HT3" s="438"/>
      <c r="HU3" s="438"/>
      <c r="HV3" s="438"/>
      <c r="HW3" s="438"/>
      <c r="HX3" s="438"/>
      <c r="HY3" s="438"/>
      <c r="HZ3" s="438"/>
      <c r="IA3" s="438"/>
      <c r="IB3" s="438"/>
      <c r="IC3" s="438"/>
      <c r="ID3" s="438"/>
      <c r="IE3" s="438"/>
      <c r="IF3" s="438"/>
      <c r="IG3" s="438"/>
      <c r="IH3" s="438"/>
      <c r="II3" s="438"/>
      <c r="IJ3" s="438"/>
      <c r="IK3" s="438"/>
      <c r="IL3" s="438"/>
      <c r="IM3" s="438"/>
      <c r="IN3" s="438"/>
      <c r="IO3" s="438"/>
      <c r="IP3" s="438"/>
      <c r="IQ3" s="438"/>
      <c r="IR3" s="438"/>
      <c r="IS3" s="438"/>
      <c r="IT3" s="483"/>
      <c r="IU3" s="483"/>
      <c r="IV3" s="483"/>
    </row>
    <row r="4" ht="24.95" customHeight="1" spans="1:4">
      <c r="A4" s="472" t="s">
        <v>1081</v>
      </c>
      <c r="B4" s="473"/>
      <c r="C4" s="473"/>
      <c r="D4" s="474"/>
    </row>
    <row r="5" s="416" customFormat="1" ht="24.95" customHeight="1" spans="1:4">
      <c r="A5" s="472" t="s">
        <v>1082</v>
      </c>
      <c r="B5" s="475" t="s">
        <v>1083</v>
      </c>
      <c r="C5" s="476" t="s">
        <v>1084</v>
      </c>
      <c r="D5" s="474"/>
    </row>
    <row r="6" ht="24.95" customHeight="1" spans="1:4">
      <c r="A6" s="472" t="s">
        <v>1085</v>
      </c>
      <c r="B6" s="477"/>
      <c r="C6" s="478"/>
      <c r="D6" s="474"/>
    </row>
    <row r="7" ht="24.95" customHeight="1" spans="1:4">
      <c r="A7" s="472" t="s">
        <v>1086</v>
      </c>
      <c r="B7" s="473"/>
      <c r="C7" s="479"/>
      <c r="D7" s="474"/>
    </row>
    <row r="8" ht="24.95" customHeight="1" spans="1:4">
      <c r="A8" s="472" t="s">
        <v>1087</v>
      </c>
      <c r="B8" s="473"/>
      <c r="C8" s="479"/>
      <c r="D8" s="474"/>
    </row>
    <row r="9" ht="24.95" customHeight="1" spans="1:4">
      <c r="A9" s="472" t="s">
        <v>1088</v>
      </c>
      <c r="B9" s="480">
        <f>B7*B8</f>
        <v>0</v>
      </c>
      <c r="C9" s="480">
        <f>C7*C8</f>
        <v>0</v>
      </c>
      <c r="D9" s="474"/>
    </row>
    <row r="10" ht="24.95" customHeight="1" spans="1:4">
      <c r="A10" s="472" t="s">
        <v>1089</v>
      </c>
      <c r="B10" s="481"/>
      <c r="C10" s="481"/>
      <c r="D10" s="474"/>
    </row>
    <row r="11" ht="24.95" customHeight="1" spans="1:4">
      <c r="A11" s="472" t="s">
        <v>1090</v>
      </c>
      <c r="B11" s="482" t="e">
        <f>ABS(PMT(B10/B7,B9,B6,0,1))</f>
        <v>#DIV/0!</v>
      </c>
      <c r="C11" s="482" t="e">
        <f>ABS(PMT(C10/C7,C9,C6))</f>
        <v>#DIV/0!</v>
      </c>
      <c r="D11" s="474"/>
    </row>
  </sheetData>
  <mergeCells count="4">
    <mergeCell ref="A1:D1"/>
    <mergeCell ref="A2:B2"/>
    <mergeCell ref="B3:C3"/>
    <mergeCell ref="B4:C4"/>
  </mergeCells>
  <printOptions horizontalCentered="1"/>
  <pageMargins left="0.55" right="0.55" top="0.979166666666667" bottom="0.979166666666667" header="0.509027777777778" footer="0.509027777777778"/>
  <pageSetup paperSize="9" orientation="portrait"/>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B1:J138"/>
  <sheetViews>
    <sheetView showGridLines="0" zoomScale="90" zoomScaleNormal="90" workbookViewId="0">
      <selection activeCell="N19" sqref="N19"/>
    </sheetView>
  </sheetViews>
  <sheetFormatPr defaultColWidth="9" defaultRowHeight="17.25"/>
  <cols>
    <col min="1" max="1" width="1.625" style="441" customWidth="1"/>
    <col min="2" max="2" width="8.625" style="441" customWidth="1"/>
    <col min="3" max="6" width="12.625" style="441"/>
    <col min="7" max="10" width="15.625" style="441" customWidth="1"/>
    <col min="11" max="16384" width="9" style="441"/>
  </cols>
  <sheetData>
    <row r="1" s="440" customFormat="1" ht="20.1" customHeight="1" spans="2:10">
      <c r="B1" s="442"/>
      <c r="E1" s="443"/>
      <c r="F1" s="444" t="s">
        <v>198</v>
      </c>
      <c r="G1" s="445" t="s">
        <v>59</v>
      </c>
      <c r="H1" s="446" t="s">
        <v>1091</v>
      </c>
      <c r="I1" s="454"/>
      <c r="J1" s="443"/>
    </row>
    <row r="2" ht="20.1" customHeight="1" spans="5:10">
      <c r="E2" s="447"/>
      <c r="F2" s="447"/>
      <c r="G2" s="445"/>
      <c r="H2" s="448" t="s">
        <v>1092</v>
      </c>
      <c r="I2" s="455"/>
      <c r="J2" s="447"/>
    </row>
    <row r="3" ht="20.1" customHeight="1" spans="5:10">
      <c r="E3" s="447"/>
      <c r="F3" s="447"/>
      <c r="G3" s="445"/>
      <c r="H3" s="448" t="s">
        <v>1093</v>
      </c>
      <c r="I3" s="456">
        <f>I1-I2</f>
        <v>0</v>
      </c>
      <c r="J3" s="447"/>
    </row>
    <row r="4" ht="20.1" customHeight="1" spans="5:10">
      <c r="E4" s="447"/>
      <c r="F4" s="447"/>
      <c r="G4" s="445"/>
      <c r="H4" s="448" t="s">
        <v>1094</v>
      </c>
      <c r="I4" s="457">
        <v>10</v>
      </c>
      <c r="J4" s="447"/>
    </row>
    <row r="5" ht="20.1" customHeight="1" spans="5:10">
      <c r="E5" s="447"/>
      <c r="F5" s="447"/>
      <c r="G5" s="445"/>
      <c r="H5" s="448" t="s">
        <v>1095</v>
      </c>
      <c r="I5" s="458"/>
      <c r="J5" s="447"/>
    </row>
    <row r="6" ht="20.1" customHeight="1" spans="5:10">
      <c r="E6" s="447"/>
      <c r="F6" s="447"/>
      <c r="G6" s="445"/>
      <c r="H6" s="448"/>
      <c r="I6" s="459"/>
      <c r="J6" s="447"/>
    </row>
    <row r="7" ht="20.1" customHeight="1" spans="5:10">
      <c r="E7" s="447"/>
      <c r="F7" s="447"/>
      <c r="G7" s="445"/>
      <c r="H7" s="448" t="s">
        <v>1096</v>
      </c>
      <c r="I7" s="460"/>
      <c r="J7" s="447"/>
    </row>
    <row r="8" ht="20.1" customHeight="1" spans="5:10">
      <c r="E8" s="449" t="s">
        <v>1097</v>
      </c>
      <c r="F8" s="447"/>
      <c r="G8" s="445"/>
      <c r="H8" s="448" t="s">
        <v>1098</v>
      </c>
      <c r="I8" s="461">
        <f>IF(J8=E8,1,2)</f>
        <v>1</v>
      </c>
      <c r="J8" s="449" t="s">
        <v>1097</v>
      </c>
    </row>
    <row r="9" ht="20.1" customHeight="1" spans="5:10">
      <c r="E9" s="449" t="s">
        <v>1099</v>
      </c>
      <c r="F9" s="447"/>
      <c r="G9" s="445"/>
      <c r="H9" s="448" t="s">
        <v>1100</v>
      </c>
      <c r="I9" s="456" t="e">
        <f>INDEX($C$18:$J$137,$I$7,($I$8-1)*4+1)</f>
        <v>#VALUE!</v>
      </c>
      <c r="J9" s="447"/>
    </row>
    <row r="10" ht="20.1" customHeight="1" spans="5:10">
      <c r="E10" s="447"/>
      <c r="F10" s="447"/>
      <c r="G10" s="445"/>
      <c r="H10" s="448" t="s">
        <v>1101</v>
      </c>
      <c r="I10" s="456" t="e">
        <f>INDEX($C$18:$J$137,$I$7,($I$8-1)*4+2)</f>
        <v>#VALUE!</v>
      </c>
      <c r="J10" s="447"/>
    </row>
    <row r="11" ht="20.1" customHeight="1" spans="5:10">
      <c r="E11" s="447"/>
      <c r="F11" s="447"/>
      <c r="G11" s="445"/>
      <c r="H11" s="448" t="s">
        <v>1102</v>
      </c>
      <c r="I11" s="456" t="e">
        <f>INDEX($C$18:$J$137,$I$7,($I$8-1)*4+3)</f>
        <v>#VALUE!</v>
      </c>
      <c r="J11" s="447"/>
    </row>
    <row r="12" ht="20.1" customHeight="1" spans="5:10">
      <c r="E12" s="447"/>
      <c r="F12" s="447"/>
      <c r="G12" s="445"/>
      <c r="H12" s="450" t="s">
        <v>1103</v>
      </c>
      <c r="I12" s="462" t="e">
        <f>INDEX($C$18:$J$137,$I$7,($I$8-1)*4+4)</f>
        <v>#VALUE!</v>
      </c>
      <c r="J12" s="447"/>
    </row>
    <row r="13" ht="20.1" customHeight="1"/>
    <row r="14" s="440" customFormat="1" ht="16.5" spans="2:10">
      <c r="B14" s="451" t="s">
        <v>1104</v>
      </c>
      <c r="C14" s="451"/>
      <c r="D14" s="451"/>
      <c r="E14" s="451"/>
      <c r="F14" s="451"/>
      <c r="G14" s="451"/>
      <c r="H14" s="451"/>
      <c r="I14" s="451"/>
      <c r="J14" s="451"/>
    </row>
    <row r="15" s="440" customFormat="1" ht="16.5" spans="2:10">
      <c r="B15" s="451" t="s">
        <v>1105</v>
      </c>
      <c r="C15" s="451"/>
      <c r="D15" s="451"/>
      <c r="E15" s="451"/>
      <c r="F15" s="451"/>
      <c r="G15" s="451" t="s">
        <v>1106</v>
      </c>
      <c r="H15" s="451"/>
      <c r="I15" s="451"/>
      <c r="J15" s="451"/>
    </row>
    <row r="16" s="440" customFormat="1" ht="16.5" spans="2:10">
      <c r="B16" s="451" t="s">
        <v>1107</v>
      </c>
      <c r="C16" s="451" t="s">
        <v>1100</v>
      </c>
      <c r="D16" s="451" t="s">
        <v>1101</v>
      </c>
      <c r="E16" s="451" t="s">
        <v>1102</v>
      </c>
      <c r="F16" s="451" t="s">
        <v>1103</v>
      </c>
      <c r="G16" s="451" t="s">
        <v>1100</v>
      </c>
      <c r="H16" s="451" t="s">
        <v>1101</v>
      </c>
      <c r="I16" s="451" t="s">
        <v>1102</v>
      </c>
      <c r="J16" s="451" t="s">
        <v>1103</v>
      </c>
    </row>
    <row r="17" s="440" customFormat="1" ht="16.5" spans="2:10">
      <c r="B17" s="452">
        <v>0</v>
      </c>
      <c r="C17" s="453"/>
      <c r="D17" s="453"/>
      <c r="E17" s="453"/>
      <c r="F17" s="453">
        <f>I3</f>
        <v>0</v>
      </c>
      <c r="G17" s="453"/>
      <c r="H17" s="453"/>
      <c r="I17" s="453"/>
      <c r="J17" s="453">
        <f>I3</f>
        <v>0</v>
      </c>
    </row>
    <row r="18" s="440" customFormat="1" ht="16.5" spans="2:10">
      <c r="B18" s="452">
        <v>1</v>
      </c>
      <c r="C18" s="453">
        <f t="shared" ref="C18:C81" si="0">$I$3/($I$4*12)</f>
        <v>0</v>
      </c>
      <c r="D18" s="453">
        <f t="shared" ref="D18:D81" si="1">ISPMT($I$5/12,B18,$I$4*12,-$I$3)</f>
        <v>0</v>
      </c>
      <c r="E18" s="453">
        <f t="shared" ref="E18:E81" si="2">C18+D18</f>
        <v>0</v>
      </c>
      <c r="F18" s="453">
        <f t="shared" ref="F18:F81" si="3">F17-C18</f>
        <v>0</v>
      </c>
      <c r="G18" s="453">
        <f t="shared" ref="G18:G81" si="4">PPMT($I$5/12,B18,$I$4*12,-$I$3)</f>
        <v>0</v>
      </c>
      <c r="H18" s="453">
        <f t="shared" ref="H18:H81" si="5">IPMT($I$5/12,B18,$I$4*12,-$I$3)</f>
        <v>0</v>
      </c>
      <c r="I18" s="453">
        <f t="shared" ref="I18:I81" si="6">G18+H18</f>
        <v>0</v>
      </c>
      <c r="J18" s="453">
        <f t="shared" ref="J18:J81" si="7">J17-G18</f>
        <v>0</v>
      </c>
    </row>
    <row r="19" s="440" customFormat="1" ht="16.5" spans="2:10">
      <c r="B19" s="452">
        <v>2</v>
      </c>
      <c r="C19" s="453">
        <f t="shared" si="0"/>
        <v>0</v>
      </c>
      <c r="D19" s="453">
        <f t="shared" si="1"/>
        <v>0</v>
      </c>
      <c r="E19" s="453">
        <f t="shared" si="2"/>
        <v>0</v>
      </c>
      <c r="F19" s="453">
        <f t="shared" si="3"/>
        <v>0</v>
      </c>
      <c r="G19" s="453">
        <f t="shared" si="4"/>
        <v>0</v>
      </c>
      <c r="H19" s="453">
        <f t="shared" si="5"/>
        <v>0</v>
      </c>
      <c r="I19" s="453">
        <f t="shared" si="6"/>
        <v>0</v>
      </c>
      <c r="J19" s="453">
        <f t="shared" si="7"/>
        <v>0</v>
      </c>
    </row>
    <row r="20" s="440" customFormat="1" ht="16.5" hidden="1" spans="2:10">
      <c r="B20" s="452">
        <v>3</v>
      </c>
      <c r="C20" s="453">
        <f t="shared" si="0"/>
        <v>0</v>
      </c>
      <c r="D20" s="453">
        <f t="shared" si="1"/>
        <v>0</v>
      </c>
      <c r="E20" s="453">
        <f t="shared" si="2"/>
        <v>0</v>
      </c>
      <c r="F20" s="453">
        <f t="shared" si="3"/>
        <v>0</v>
      </c>
      <c r="G20" s="453">
        <f t="shared" si="4"/>
        <v>0</v>
      </c>
      <c r="H20" s="453">
        <f t="shared" si="5"/>
        <v>0</v>
      </c>
      <c r="I20" s="453">
        <f t="shared" si="6"/>
        <v>0</v>
      </c>
      <c r="J20" s="453">
        <f t="shared" si="7"/>
        <v>0</v>
      </c>
    </row>
    <row r="21" s="440" customFormat="1" ht="16.5" hidden="1" spans="2:10">
      <c r="B21" s="452">
        <v>4</v>
      </c>
      <c r="C21" s="453">
        <f t="shared" si="0"/>
        <v>0</v>
      </c>
      <c r="D21" s="453">
        <f t="shared" si="1"/>
        <v>0</v>
      </c>
      <c r="E21" s="453">
        <f t="shared" si="2"/>
        <v>0</v>
      </c>
      <c r="F21" s="453">
        <f t="shared" si="3"/>
        <v>0</v>
      </c>
      <c r="G21" s="453">
        <f t="shared" si="4"/>
        <v>0</v>
      </c>
      <c r="H21" s="453">
        <f t="shared" si="5"/>
        <v>0</v>
      </c>
      <c r="I21" s="453">
        <f t="shared" si="6"/>
        <v>0</v>
      </c>
      <c r="J21" s="453">
        <f t="shared" si="7"/>
        <v>0</v>
      </c>
    </row>
    <row r="22" s="440" customFormat="1" ht="16.5" hidden="1" spans="2:10">
      <c r="B22" s="452">
        <v>5</v>
      </c>
      <c r="C22" s="453">
        <f t="shared" si="0"/>
        <v>0</v>
      </c>
      <c r="D22" s="453">
        <f t="shared" si="1"/>
        <v>0</v>
      </c>
      <c r="E22" s="453">
        <f t="shared" si="2"/>
        <v>0</v>
      </c>
      <c r="F22" s="453">
        <f t="shared" si="3"/>
        <v>0</v>
      </c>
      <c r="G22" s="453">
        <f t="shared" si="4"/>
        <v>0</v>
      </c>
      <c r="H22" s="453">
        <f t="shared" si="5"/>
        <v>0</v>
      </c>
      <c r="I22" s="453">
        <f t="shared" si="6"/>
        <v>0</v>
      </c>
      <c r="J22" s="453">
        <f t="shared" si="7"/>
        <v>0</v>
      </c>
    </row>
    <row r="23" s="440" customFormat="1" ht="16.5" hidden="1" spans="2:10">
      <c r="B23" s="452">
        <v>6</v>
      </c>
      <c r="C23" s="453">
        <f t="shared" si="0"/>
        <v>0</v>
      </c>
      <c r="D23" s="453">
        <f t="shared" si="1"/>
        <v>0</v>
      </c>
      <c r="E23" s="453">
        <f t="shared" si="2"/>
        <v>0</v>
      </c>
      <c r="F23" s="453">
        <f t="shared" si="3"/>
        <v>0</v>
      </c>
      <c r="G23" s="453">
        <f t="shared" si="4"/>
        <v>0</v>
      </c>
      <c r="H23" s="453">
        <f t="shared" si="5"/>
        <v>0</v>
      </c>
      <c r="I23" s="453">
        <f t="shared" si="6"/>
        <v>0</v>
      </c>
      <c r="J23" s="453">
        <f t="shared" si="7"/>
        <v>0</v>
      </c>
    </row>
    <row r="24" s="440" customFormat="1" ht="16.5" hidden="1" spans="2:10">
      <c r="B24" s="452">
        <v>7</v>
      </c>
      <c r="C24" s="453">
        <f t="shared" si="0"/>
        <v>0</v>
      </c>
      <c r="D24" s="453">
        <f t="shared" si="1"/>
        <v>0</v>
      </c>
      <c r="E24" s="453">
        <f t="shared" si="2"/>
        <v>0</v>
      </c>
      <c r="F24" s="453">
        <f t="shared" si="3"/>
        <v>0</v>
      </c>
      <c r="G24" s="453">
        <f t="shared" si="4"/>
        <v>0</v>
      </c>
      <c r="H24" s="453">
        <f t="shared" si="5"/>
        <v>0</v>
      </c>
      <c r="I24" s="453">
        <f t="shared" si="6"/>
        <v>0</v>
      </c>
      <c r="J24" s="453">
        <f t="shared" si="7"/>
        <v>0</v>
      </c>
    </row>
    <row r="25" s="440" customFormat="1" ht="16.5" hidden="1" spans="2:10">
      <c r="B25" s="452">
        <v>8</v>
      </c>
      <c r="C25" s="453">
        <f t="shared" si="0"/>
        <v>0</v>
      </c>
      <c r="D25" s="453">
        <f t="shared" si="1"/>
        <v>0</v>
      </c>
      <c r="E25" s="453">
        <f t="shared" si="2"/>
        <v>0</v>
      </c>
      <c r="F25" s="453">
        <f t="shared" si="3"/>
        <v>0</v>
      </c>
      <c r="G25" s="453">
        <f t="shared" si="4"/>
        <v>0</v>
      </c>
      <c r="H25" s="453">
        <f t="shared" si="5"/>
        <v>0</v>
      </c>
      <c r="I25" s="453">
        <f t="shared" si="6"/>
        <v>0</v>
      </c>
      <c r="J25" s="453">
        <f t="shared" si="7"/>
        <v>0</v>
      </c>
    </row>
    <row r="26" s="440" customFormat="1" ht="16.5" hidden="1" spans="2:10">
      <c r="B26" s="452">
        <v>9</v>
      </c>
      <c r="C26" s="453">
        <f t="shared" si="0"/>
        <v>0</v>
      </c>
      <c r="D26" s="453">
        <f t="shared" si="1"/>
        <v>0</v>
      </c>
      <c r="E26" s="453">
        <f t="shared" si="2"/>
        <v>0</v>
      </c>
      <c r="F26" s="453">
        <f t="shared" si="3"/>
        <v>0</v>
      </c>
      <c r="G26" s="453">
        <f t="shared" si="4"/>
        <v>0</v>
      </c>
      <c r="H26" s="453">
        <f t="shared" si="5"/>
        <v>0</v>
      </c>
      <c r="I26" s="453">
        <f t="shared" si="6"/>
        <v>0</v>
      </c>
      <c r="J26" s="453">
        <f t="shared" si="7"/>
        <v>0</v>
      </c>
    </row>
    <row r="27" s="440" customFormat="1" ht="16.5" hidden="1" spans="2:10">
      <c r="B27" s="452">
        <v>10</v>
      </c>
      <c r="C27" s="453">
        <f t="shared" si="0"/>
        <v>0</v>
      </c>
      <c r="D27" s="453">
        <f t="shared" si="1"/>
        <v>0</v>
      </c>
      <c r="E27" s="453">
        <f t="shared" si="2"/>
        <v>0</v>
      </c>
      <c r="F27" s="453">
        <f t="shared" si="3"/>
        <v>0</v>
      </c>
      <c r="G27" s="453">
        <f t="shared" si="4"/>
        <v>0</v>
      </c>
      <c r="H27" s="453">
        <f t="shared" si="5"/>
        <v>0</v>
      </c>
      <c r="I27" s="453">
        <f t="shared" si="6"/>
        <v>0</v>
      </c>
      <c r="J27" s="453">
        <f t="shared" si="7"/>
        <v>0</v>
      </c>
    </row>
    <row r="28" s="440" customFormat="1" ht="16.5" hidden="1" spans="2:10">
      <c r="B28" s="452">
        <v>11</v>
      </c>
      <c r="C28" s="453">
        <f t="shared" si="0"/>
        <v>0</v>
      </c>
      <c r="D28" s="453">
        <f t="shared" si="1"/>
        <v>0</v>
      </c>
      <c r="E28" s="453">
        <f t="shared" si="2"/>
        <v>0</v>
      </c>
      <c r="F28" s="453">
        <f t="shared" si="3"/>
        <v>0</v>
      </c>
      <c r="G28" s="453">
        <f t="shared" si="4"/>
        <v>0</v>
      </c>
      <c r="H28" s="453">
        <f t="shared" si="5"/>
        <v>0</v>
      </c>
      <c r="I28" s="453">
        <f t="shared" si="6"/>
        <v>0</v>
      </c>
      <c r="J28" s="453">
        <f t="shared" si="7"/>
        <v>0</v>
      </c>
    </row>
    <row r="29" s="440" customFormat="1" ht="16.5" hidden="1" spans="2:10">
      <c r="B29" s="452">
        <v>12</v>
      </c>
      <c r="C29" s="453">
        <f t="shared" si="0"/>
        <v>0</v>
      </c>
      <c r="D29" s="453">
        <f t="shared" si="1"/>
        <v>0</v>
      </c>
      <c r="E29" s="453">
        <f t="shared" si="2"/>
        <v>0</v>
      </c>
      <c r="F29" s="453">
        <f t="shared" si="3"/>
        <v>0</v>
      </c>
      <c r="G29" s="453">
        <f t="shared" si="4"/>
        <v>0</v>
      </c>
      <c r="H29" s="453">
        <f t="shared" si="5"/>
        <v>0</v>
      </c>
      <c r="I29" s="453">
        <f t="shared" si="6"/>
        <v>0</v>
      </c>
      <c r="J29" s="453">
        <f t="shared" si="7"/>
        <v>0</v>
      </c>
    </row>
    <row r="30" s="440" customFormat="1" ht="16.5" hidden="1" spans="2:10">
      <c r="B30" s="452">
        <v>13</v>
      </c>
      <c r="C30" s="453">
        <f t="shared" si="0"/>
        <v>0</v>
      </c>
      <c r="D30" s="453">
        <f t="shared" si="1"/>
        <v>0</v>
      </c>
      <c r="E30" s="453">
        <f t="shared" si="2"/>
        <v>0</v>
      </c>
      <c r="F30" s="453">
        <f t="shared" si="3"/>
        <v>0</v>
      </c>
      <c r="G30" s="453">
        <f t="shared" si="4"/>
        <v>0</v>
      </c>
      <c r="H30" s="453">
        <f t="shared" si="5"/>
        <v>0</v>
      </c>
      <c r="I30" s="453">
        <f t="shared" si="6"/>
        <v>0</v>
      </c>
      <c r="J30" s="453">
        <f t="shared" si="7"/>
        <v>0</v>
      </c>
    </row>
    <row r="31" s="440" customFormat="1" ht="16.5" hidden="1" spans="2:10">
      <c r="B31" s="452">
        <v>14</v>
      </c>
      <c r="C31" s="453">
        <f t="shared" si="0"/>
        <v>0</v>
      </c>
      <c r="D31" s="453">
        <f t="shared" si="1"/>
        <v>0</v>
      </c>
      <c r="E31" s="453">
        <f t="shared" si="2"/>
        <v>0</v>
      </c>
      <c r="F31" s="453">
        <f t="shared" si="3"/>
        <v>0</v>
      </c>
      <c r="G31" s="453">
        <f t="shared" si="4"/>
        <v>0</v>
      </c>
      <c r="H31" s="453">
        <f t="shared" si="5"/>
        <v>0</v>
      </c>
      <c r="I31" s="453">
        <f t="shared" si="6"/>
        <v>0</v>
      </c>
      <c r="J31" s="453">
        <f t="shared" si="7"/>
        <v>0</v>
      </c>
    </row>
    <row r="32" s="440" customFormat="1" ht="16.5" hidden="1" spans="2:10">
      <c r="B32" s="452">
        <v>15</v>
      </c>
      <c r="C32" s="453">
        <f t="shared" si="0"/>
        <v>0</v>
      </c>
      <c r="D32" s="453">
        <f t="shared" si="1"/>
        <v>0</v>
      </c>
      <c r="E32" s="453">
        <f t="shared" si="2"/>
        <v>0</v>
      </c>
      <c r="F32" s="453">
        <f t="shared" si="3"/>
        <v>0</v>
      </c>
      <c r="G32" s="453">
        <f t="shared" si="4"/>
        <v>0</v>
      </c>
      <c r="H32" s="453">
        <f t="shared" si="5"/>
        <v>0</v>
      </c>
      <c r="I32" s="453">
        <f t="shared" si="6"/>
        <v>0</v>
      </c>
      <c r="J32" s="453">
        <f t="shared" si="7"/>
        <v>0</v>
      </c>
    </row>
    <row r="33" s="440" customFormat="1" ht="16.5" hidden="1" spans="2:10">
      <c r="B33" s="452">
        <v>16</v>
      </c>
      <c r="C33" s="453">
        <f t="shared" si="0"/>
        <v>0</v>
      </c>
      <c r="D33" s="453">
        <f t="shared" si="1"/>
        <v>0</v>
      </c>
      <c r="E33" s="453">
        <f t="shared" si="2"/>
        <v>0</v>
      </c>
      <c r="F33" s="453">
        <f t="shared" si="3"/>
        <v>0</v>
      </c>
      <c r="G33" s="453">
        <f t="shared" si="4"/>
        <v>0</v>
      </c>
      <c r="H33" s="453">
        <f t="shared" si="5"/>
        <v>0</v>
      </c>
      <c r="I33" s="453">
        <f t="shared" si="6"/>
        <v>0</v>
      </c>
      <c r="J33" s="453">
        <f t="shared" si="7"/>
        <v>0</v>
      </c>
    </row>
    <row r="34" s="440" customFormat="1" ht="16.5" hidden="1" spans="2:10">
      <c r="B34" s="452">
        <v>17</v>
      </c>
      <c r="C34" s="453">
        <f t="shared" si="0"/>
        <v>0</v>
      </c>
      <c r="D34" s="453">
        <f t="shared" si="1"/>
        <v>0</v>
      </c>
      <c r="E34" s="453">
        <f t="shared" si="2"/>
        <v>0</v>
      </c>
      <c r="F34" s="453">
        <f t="shared" si="3"/>
        <v>0</v>
      </c>
      <c r="G34" s="453">
        <f t="shared" si="4"/>
        <v>0</v>
      </c>
      <c r="H34" s="453">
        <f t="shared" si="5"/>
        <v>0</v>
      </c>
      <c r="I34" s="453">
        <f t="shared" si="6"/>
        <v>0</v>
      </c>
      <c r="J34" s="453">
        <f t="shared" si="7"/>
        <v>0</v>
      </c>
    </row>
    <row r="35" s="440" customFormat="1" ht="16.5" hidden="1" spans="2:10">
      <c r="B35" s="452">
        <v>18</v>
      </c>
      <c r="C35" s="453">
        <f t="shared" si="0"/>
        <v>0</v>
      </c>
      <c r="D35" s="453">
        <f t="shared" si="1"/>
        <v>0</v>
      </c>
      <c r="E35" s="453">
        <f t="shared" si="2"/>
        <v>0</v>
      </c>
      <c r="F35" s="453">
        <f t="shared" si="3"/>
        <v>0</v>
      </c>
      <c r="G35" s="453">
        <f t="shared" si="4"/>
        <v>0</v>
      </c>
      <c r="H35" s="453">
        <f t="shared" si="5"/>
        <v>0</v>
      </c>
      <c r="I35" s="453">
        <f t="shared" si="6"/>
        <v>0</v>
      </c>
      <c r="J35" s="453">
        <f t="shared" si="7"/>
        <v>0</v>
      </c>
    </row>
    <row r="36" s="440" customFormat="1" ht="16.5" hidden="1" spans="2:10">
      <c r="B36" s="452">
        <v>19</v>
      </c>
      <c r="C36" s="453">
        <f t="shared" si="0"/>
        <v>0</v>
      </c>
      <c r="D36" s="453">
        <f t="shared" si="1"/>
        <v>0</v>
      </c>
      <c r="E36" s="453">
        <f t="shared" si="2"/>
        <v>0</v>
      </c>
      <c r="F36" s="453">
        <f t="shared" si="3"/>
        <v>0</v>
      </c>
      <c r="G36" s="453">
        <f t="shared" si="4"/>
        <v>0</v>
      </c>
      <c r="H36" s="453">
        <f t="shared" si="5"/>
        <v>0</v>
      </c>
      <c r="I36" s="453">
        <f t="shared" si="6"/>
        <v>0</v>
      </c>
      <c r="J36" s="453">
        <f t="shared" si="7"/>
        <v>0</v>
      </c>
    </row>
    <row r="37" s="440" customFormat="1" ht="16.5" hidden="1" spans="2:10">
      <c r="B37" s="452">
        <v>20</v>
      </c>
      <c r="C37" s="453">
        <f t="shared" si="0"/>
        <v>0</v>
      </c>
      <c r="D37" s="453">
        <f t="shared" si="1"/>
        <v>0</v>
      </c>
      <c r="E37" s="453">
        <f t="shared" si="2"/>
        <v>0</v>
      </c>
      <c r="F37" s="453">
        <f t="shared" si="3"/>
        <v>0</v>
      </c>
      <c r="G37" s="453">
        <f t="shared" si="4"/>
        <v>0</v>
      </c>
      <c r="H37" s="453">
        <f t="shared" si="5"/>
        <v>0</v>
      </c>
      <c r="I37" s="453">
        <f t="shared" si="6"/>
        <v>0</v>
      </c>
      <c r="J37" s="453">
        <f t="shared" si="7"/>
        <v>0</v>
      </c>
    </row>
    <row r="38" s="440" customFormat="1" ht="16.5" hidden="1" spans="2:10">
      <c r="B38" s="452">
        <v>21</v>
      </c>
      <c r="C38" s="453">
        <f t="shared" si="0"/>
        <v>0</v>
      </c>
      <c r="D38" s="453">
        <f t="shared" si="1"/>
        <v>0</v>
      </c>
      <c r="E38" s="453">
        <f t="shared" si="2"/>
        <v>0</v>
      </c>
      <c r="F38" s="453">
        <f t="shared" si="3"/>
        <v>0</v>
      </c>
      <c r="G38" s="453">
        <f t="shared" si="4"/>
        <v>0</v>
      </c>
      <c r="H38" s="453">
        <f t="shared" si="5"/>
        <v>0</v>
      </c>
      <c r="I38" s="453">
        <f t="shared" si="6"/>
        <v>0</v>
      </c>
      <c r="J38" s="453">
        <f t="shared" si="7"/>
        <v>0</v>
      </c>
    </row>
    <row r="39" s="440" customFormat="1" ht="16.5" hidden="1" spans="2:10">
      <c r="B39" s="452">
        <v>22</v>
      </c>
      <c r="C39" s="453">
        <f t="shared" si="0"/>
        <v>0</v>
      </c>
      <c r="D39" s="453">
        <f t="shared" si="1"/>
        <v>0</v>
      </c>
      <c r="E39" s="453">
        <f t="shared" si="2"/>
        <v>0</v>
      </c>
      <c r="F39" s="453">
        <f t="shared" si="3"/>
        <v>0</v>
      </c>
      <c r="G39" s="453">
        <f t="shared" si="4"/>
        <v>0</v>
      </c>
      <c r="H39" s="453">
        <f t="shared" si="5"/>
        <v>0</v>
      </c>
      <c r="I39" s="453">
        <f t="shared" si="6"/>
        <v>0</v>
      </c>
      <c r="J39" s="453">
        <f t="shared" si="7"/>
        <v>0</v>
      </c>
    </row>
    <row r="40" s="440" customFormat="1" ht="16.5" hidden="1" spans="2:10">
      <c r="B40" s="452">
        <v>23</v>
      </c>
      <c r="C40" s="453">
        <f t="shared" si="0"/>
        <v>0</v>
      </c>
      <c r="D40" s="453">
        <f t="shared" si="1"/>
        <v>0</v>
      </c>
      <c r="E40" s="453">
        <f t="shared" si="2"/>
        <v>0</v>
      </c>
      <c r="F40" s="453">
        <f t="shared" si="3"/>
        <v>0</v>
      </c>
      <c r="G40" s="453">
        <f t="shared" si="4"/>
        <v>0</v>
      </c>
      <c r="H40" s="453">
        <f t="shared" si="5"/>
        <v>0</v>
      </c>
      <c r="I40" s="453">
        <f t="shared" si="6"/>
        <v>0</v>
      </c>
      <c r="J40" s="453">
        <f t="shared" si="7"/>
        <v>0</v>
      </c>
    </row>
    <row r="41" s="440" customFormat="1" ht="16.5" hidden="1" spans="2:10">
      <c r="B41" s="452">
        <v>24</v>
      </c>
      <c r="C41" s="453">
        <f t="shared" si="0"/>
        <v>0</v>
      </c>
      <c r="D41" s="453">
        <f t="shared" si="1"/>
        <v>0</v>
      </c>
      <c r="E41" s="453">
        <f t="shared" si="2"/>
        <v>0</v>
      </c>
      <c r="F41" s="453">
        <f t="shared" si="3"/>
        <v>0</v>
      </c>
      <c r="G41" s="453">
        <f t="shared" si="4"/>
        <v>0</v>
      </c>
      <c r="H41" s="453">
        <f t="shared" si="5"/>
        <v>0</v>
      </c>
      <c r="I41" s="453">
        <f t="shared" si="6"/>
        <v>0</v>
      </c>
      <c r="J41" s="453">
        <f t="shared" si="7"/>
        <v>0</v>
      </c>
    </row>
    <row r="42" s="440" customFormat="1" ht="16.5" hidden="1" spans="2:10">
      <c r="B42" s="452">
        <v>25</v>
      </c>
      <c r="C42" s="453">
        <f t="shared" si="0"/>
        <v>0</v>
      </c>
      <c r="D42" s="453">
        <f t="shared" si="1"/>
        <v>0</v>
      </c>
      <c r="E42" s="453">
        <f t="shared" si="2"/>
        <v>0</v>
      </c>
      <c r="F42" s="453">
        <f t="shared" si="3"/>
        <v>0</v>
      </c>
      <c r="G42" s="453">
        <f t="shared" si="4"/>
        <v>0</v>
      </c>
      <c r="H42" s="453">
        <f t="shared" si="5"/>
        <v>0</v>
      </c>
      <c r="I42" s="453">
        <f t="shared" si="6"/>
        <v>0</v>
      </c>
      <c r="J42" s="453">
        <f t="shared" si="7"/>
        <v>0</v>
      </c>
    </row>
    <row r="43" s="440" customFormat="1" ht="16.5" hidden="1" spans="2:10">
      <c r="B43" s="452">
        <v>26</v>
      </c>
      <c r="C43" s="453">
        <f t="shared" si="0"/>
        <v>0</v>
      </c>
      <c r="D43" s="453">
        <f t="shared" si="1"/>
        <v>0</v>
      </c>
      <c r="E43" s="453">
        <f t="shared" si="2"/>
        <v>0</v>
      </c>
      <c r="F43" s="453">
        <f t="shared" si="3"/>
        <v>0</v>
      </c>
      <c r="G43" s="453">
        <f t="shared" si="4"/>
        <v>0</v>
      </c>
      <c r="H43" s="453">
        <f t="shared" si="5"/>
        <v>0</v>
      </c>
      <c r="I43" s="453">
        <f t="shared" si="6"/>
        <v>0</v>
      </c>
      <c r="J43" s="453">
        <f t="shared" si="7"/>
        <v>0</v>
      </c>
    </row>
    <row r="44" s="440" customFormat="1" ht="16.5" hidden="1" spans="2:10">
      <c r="B44" s="452">
        <v>27</v>
      </c>
      <c r="C44" s="453">
        <f t="shared" si="0"/>
        <v>0</v>
      </c>
      <c r="D44" s="453">
        <f t="shared" si="1"/>
        <v>0</v>
      </c>
      <c r="E44" s="453">
        <f t="shared" si="2"/>
        <v>0</v>
      </c>
      <c r="F44" s="453">
        <f t="shared" si="3"/>
        <v>0</v>
      </c>
      <c r="G44" s="453">
        <f t="shared" si="4"/>
        <v>0</v>
      </c>
      <c r="H44" s="453">
        <f t="shared" si="5"/>
        <v>0</v>
      </c>
      <c r="I44" s="453">
        <f t="shared" si="6"/>
        <v>0</v>
      </c>
      <c r="J44" s="453">
        <f t="shared" si="7"/>
        <v>0</v>
      </c>
    </row>
    <row r="45" s="440" customFormat="1" ht="16.5" hidden="1" spans="2:10">
      <c r="B45" s="452">
        <v>28</v>
      </c>
      <c r="C45" s="453">
        <f t="shared" si="0"/>
        <v>0</v>
      </c>
      <c r="D45" s="453">
        <f t="shared" si="1"/>
        <v>0</v>
      </c>
      <c r="E45" s="453">
        <f t="shared" si="2"/>
        <v>0</v>
      </c>
      <c r="F45" s="453">
        <f t="shared" si="3"/>
        <v>0</v>
      </c>
      <c r="G45" s="453">
        <f t="shared" si="4"/>
        <v>0</v>
      </c>
      <c r="H45" s="453">
        <f t="shared" si="5"/>
        <v>0</v>
      </c>
      <c r="I45" s="453">
        <f t="shared" si="6"/>
        <v>0</v>
      </c>
      <c r="J45" s="453">
        <f t="shared" si="7"/>
        <v>0</v>
      </c>
    </row>
    <row r="46" s="440" customFormat="1" ht="16.5" hidden="1" spans="2:10">
      <c r="B46" s="452">
        <v>29</v>
      </c>
      <c r="C46" s="453">
        <f t="shared" si="0"/>
        <v>0</v>
      </c>
      <c r="D46" s="453">
        <f t="shared" si="1"/>
        <v>0</v>
      </c>
      <c r="E46" s="453">
        <f t="shared" si="2"/>
        <v>0</v>
      </c>
      <c r="F46" s="453">
        <f t="shared" si="3"/>
        <v>0</v>
      </c>
      <c r="G46" s="453">
        <f t="shared" si="4"/>
        <v>0</v>
      </c>
      <c r="H46" s="453">
        <f t="shared" si="5"/>
        <v>0</v>
      </c>
      <c r="I46" s="453">
        <f t="shared" si="6"/>
        <v>0</v>
      </c>
      <c r="J46" s="453">
        <f t="shared" si="7"/>
        <v>0</v>
      </c>
    </row>
    <row r="47" s="440" customFormat="1" ht="16.5" hidden="1" spans="2:10">
      <c r="B47" s="452">
        <v>30</v>
      </c>
      <c r="C47" s="453">
        <f t="shared" si="0"/>
        <v>0</v>
      </c>
      <c r="D47" s="453">
        <f t="shared" si="1"/>
        <v>0</v>
      </c>
      <c r="E47" s="453">
        <f t="shared" si="2"/>
        <v>0</v>
      </c>
      <c r="F47" s="453">
        <f t="shared" si="3"/>
        <v>0</v>
      </c>
      <c r="G47" s="453">
        <f t="shared" si="4"/>
        <v>0</v>
      </c>
      <c r="H47" s="453">
        <f t="shared" si="5"/>
        <v>0</v>
      </c>
      <c r="I47" s="453">
        <f t="shared" si="6"/>
        <v>0</v>
      </c>
      <c r="J47" s="453">
        <f t="shared" si="7"/>
        <v>0</v>
      </c>
    </row>
    <row r="48" s="440" customFormat="1" ht="16.5" hidden="1" spans="2:10">
      <c r="B48" s="452">
        <v>31</v>
      </c>
      <c r="C48" s="453">
        <f t="shared" si="0"/>
        <v>0</v>
      </c>
      <c r="D48" s="453">
        <f t="shared" si="1"/>
        <v>0</v>
      </c>
      <c r="E48" s="453">
        <f t="shared" si="2"/>
        <v>0</v>
      </c>
      <c r="F48" s="453">
        <f t="shared" si="3"/>
        <v>0</v>
      </c>
      <c r="G48" s="453">
        <f t="shared" si="4"/>
        <v>0</v>
      </c>
      <c r="H48" s="453">
        <f t="shared" si="5"/>
        <v>0</v>
      </c>
      <c r="I48" s="453">
        <f t="shared" si="6"/>
        <v>0</v>
      </c>
      <c r="J48" s="453">
        <f t="shared" si="7"/>
        <v>0</v>
      </c>
    </row>
    <row r="49" s="440" customFormat="1" ht="16.5" hidden="1" spans="2:10">
      <c r="B49" s="452">
        <v>32</v>
      </c>
      <c r="C49" s="453">
        <f t="shared" si="0"/>
        <v>0</v>
      </c>
      <c r="D49" s="453">
        <f t="shared" si="1"/>
        <v>0</v>
      </c>
      <c r="E49" s="453">
        <f t="shared" si="2"/>
        <v>0</v>
      </c>
      <c r="F49" s="453">
        <f t="shared" si="3"/>
        <v>0</v>
      </c>
      <c r="G49" s="453">
        <f t="shared" si="4"/>
        <v>0</v>
      </c>
      <c r="H49" s="453">
        <f t="shared" si="5"/>
        <v>0</v>
      </c>
      <c r="I49" s="453">
        <f t="shared" si="6"/>
        <v>0</v>
      </c>
      <c r="J49" s="453">
        <f t="shared" si="7"/>
        <v>0</v>
      </c>
    </row>
    <row r="50" s="440" customFormat="1" ht="16.5" hidden="1" spans="2:10">
      <c r="B50" s="452">
        <v>33</v>
      </c>
      <c r="C50" s="453">
        <f t="shared" si="0"/>
        <v>0</v>
      </c>
      <c r="D50" s="453">
        <f t="shared" si="1"/>
        <v>0</v>
      </c>
      <c r="E50" s="453">
        <f t="shared" si="2"/>
        <v>0</v>
      </c>
      <c r="F50" s="453">
        <f t="shared" si="3"/>
        <v>0</v>
      </c>
      <c r="G50" s="453">
        <f t="shared" si="4"/>
        <v>0</v>
      </c>
      <c r="H50" s="453">
        <f t="shared" si="5"/>
        <v>0</v>
      </c>
      <c r="I50" s="453">
        <f t="shared" si="6"/>
        <v>0</v>
      </c>
      <c r="J50" s="453">
        <f t="shared" si="7"/>
        <v>0</v>
      </c>
    </row>
    <row r="51" s="440" customFormat="1" ht="16.5" hidden="1" spans="2:10">
      <c r="B51" s="452">
        <v>34</v>
      </c>
      <c r="C51" s="453">
        <f t="shared" si="0"/>
        <v>0</v>
      </c>
      <c r="D51" s="453">
        <f t="shared" si="1"/>
        <v>0</v>
      </c>
      <c r="E51" s="453">
        <f t="shared" si="2"/>
        <v>0</v>
      </c>
      <c r="F51" s="453">
        <f t="shared" si="3"/>
        <v>0</v>
      </c>
      <c r="G51" s="453">
        <f t="shared" si="4"/>
        <v>0</v>
      </c>
      <c r="H51" s="453">
        <f t="shared" si="5"/>
        <v>0</v>
      </c>
      <c r="I51" s="453">
        <f t="shared" si="6"/>
        <v>0</v>
      </c>
      <c r="J51" s="453">
        <f t="shared" si="7"/>
        <v>0</v>
      </c>
    </row>
    <row r="52" s="440" customFormat="1" ht="16.5" hidden="1" spans="2:10">
      <c r="B52" s="452">
        <v>35</v>
      </c>
      <c r="C52" s="453">
        <f t="shared" si="0"/>
        <v>0</v>
      </c>
      <c r="D52" s="453">
        <f t="shared" si="1"/>
        <v>0</v>
      </c>
      <c r="E52" s="453">
        <f t="shared" si="2"/>
        <v>0</v>
      </c>
      <c r="F52" s="453">
        <f t="shared" si="3"/>
        <v>0</v>
      </c>
      <c r="G52" s="453">
        <f t="shared" si="4"/>
        <v>0</v>
      </c>
      <c r="H52" s="453">
        <f t="shared" si="5"/>
        <v>0</v>
      </c>
      <c r="I52" s="453">
        <f t="shared" si="6"/>
        <v>0</v>
      </c>
      <c r="J52" s="453">
        <f t="shared" si="7"/>
        <v>0</v>
      </c>
    </row>
    <row r="53" s="440" customFormat="1" ht="16.5" hidden="1" spans="2:10">
      <c r="B53" s="452">
        <v>36</v>
      </c>
      <c r="C53" s="453">
        <f t="shared" si="0"/>
        <v>0</v>
      </c>
      <c r="D53" s="453">
        <f t="shared" si="1"/>
        <v>0</v>
      </c>
      <c r="E53" s="453">
        <f t="shared" si="2"/>
        <v>0</v>
      </c>
      <c r="F53" s="453">
        <f t="shared" si="3"/>
        <v>0</v>
      </c>
      <c r="G53" s="453">
        <f t="shared" si="4"/>
        <v>0</v>
      </c>
      <c r="H53" s="453">
        <f t="shared" si="5"/>
        <v>0</v>
      </c>
      <c r="I53" s="453">
        <f t="shared" si="6"/>
        <v>0</v>
      </c>
      <c r="J53" s="453">
        <f t="shared" si="7"/>
        <v>0</v>
      </c>
    </row>
    <row r="54" s="440" customFormat="1" ht="16.5" hidden="1" spans="2:10">
      <c r="B54" s="452">
        <v>37</v>
      </c>
      <c r="C54" s="453">
        <f t="shared" si="0"/>
        <v>0</v>
      </c>
      <c r="D54" s="453">
        <f t="shared" si="1"/>
        <v>0</v>
      </c>
      <c r="E54" s="453">
        <f t="shared" si="2"/>
        <v>0</v>
      </c>
      <c r="F54" s="453">
        <f t="shared" si="3"/>
        <v>0</v>
      </c>
      <c r="G54" s="453">
        <f t="shared" si="4"/>
        <v>0</v>
      </c>
      <c r="H54" s="453">
        <f t="shared" si="5"/>
        <v>0</v>
      </c>
      <c r="I54" s="453">
        <f t="shared" si="6"/>
        <v>0</v>
      </c>
      <c r="J54" s="453">
        <f t="shared" si="7"/>
        <v>0</v>
      </c>
    </row>
    <row r="55" s="440" customFormat="1" ht="16.5" hidden="1" spans="2:10">
      <c r="B55" s="452">
        <v>38</v>
      </c>
      <c r="C55" s="453">
        <f t="shared" si="0"/>
        <v>0</v>
      </c>
      <c r="D55" s="453">
        <f t="shared" si="1"/>
        <v>0</v>
      </c>
      <c r="E55" s="453">
        <f t="shared" si="2"/>
        <v>0</v>
      </c>
      <c r="F55" s="453">
        <f t="shared" si="3"/>
        <v>0</v>
      </c>
      <c r="G55" s="453">
        <f t="shared" si="4"/>
        <v>0</v>
      </c>
      <c r="H55" s="453">
        <f t="shared" si="5"/>
        <v>0</v>
      </c>
      <c r="I55" s="453">
        <f t="shared" si="6"/>
        <v>0</v>
      </c>
      <c r="J55" s="453">
        <f t="shared" si="7"/>
        <v>0</v>
      </c>
    </row>
    <row r="56" s="440" customFormat="1" ht="16.5" hidden="1" spans="2:10">
      <c r="B56" s="452">
        <v>39</v>
      </c>
      <c r="C56" s="453">
        <f t="shared" si="0"/>
        <v>0</v>
      </c>
      <c r="D56" s="453">
        <f t="shared" si="1"/>
        <v>0</v>
      </c>
      <c r="E56" s="453">
        <f t="shared" si="2"/>
        <v>0</v>
      </c>
      <c r="F56" s="453">
        <f t="shared" si="3"/>
        <v>0</v>
      </c>
      <c r="G56" s="453">
        <f t="shared" si="4"/>
        <v>0</v>
      </c>
      <c r="H56" s="453">
        <f t="shared" si="5"/>
        <v>0</v>
      </c>
      <c r="I56" s="453">
        <f t="shared" si="6"/>
        <v>0</v>
      </c>
      <c r="J56" s="453">
        <f t="shared" si="7"/>
        <v>0</v>
      </c>
    </row>
    <row r="57" s="440" customFormat="1" ht="16.5" hidden="1" spans="2:10">
      <c r="B57" s="452">
        <v>40</v>
      </c>
      <c r="C57" s="453">
        <f t="shared" si="0"/>
        <v>0</v>
      </c>
      <c r="D57" s="453">
        <f t="shared" si="1"/>
        <v>0</v>
      </c>
      <c r="E57" s="453">
        <f t="shared" si="2"/>
        <v>0</v>
      </c>
      <c r="F57" s="453">
        <f t="shared" si="3"/>
        <v>0</v>
      </c>
      <c r="G57" s="453">
        <f t="shared" si="4"/>
        <v>0</v>
      </c>
      <c r="H57" s="453">
        <f t="shared" si="5"/>
        <v>0</v>
      </c>
      <c r="I57" s="453">
        <f t="shared" si="6"/>
        <v>0</v>
      </c>
      <c r="J57" s="453">
        <f t="shared" si="7"/>
        <v>0</v>
      </c>
    </row>
    <row r="58" s="440" customFormat="1" ht="16.5" hidden="1" spans="2:10">
      <c r="B58" s="452">
        <v>41</v>
      </c>
      <c r="C58" s="453">
        <f t="shared" si="0"/>
        <v>0</v>
      </c>
      <c r="D58" s="453">
        <f t="shared" si="1"/>
        <v>0</v>
      </c>
      <c r="E58" s="453">
        <f t="shared" si="2"/>
        <v>0</v>
      </c>
      <c r="F58" s="453">
        <f t="shared" si="3"/>
        <v>0</v>
      </c>
      <c r="G58" s="453">
        <f t="shared" si="4"/>
        <v>0</v>
      </c>
      <c r="H58" s="453">
        <f t="shared" si="5"/>
        <v>0</v>
      </c>
      <c r="I58" s="453">
        <f t="shared" si="6"/>
        <v>0</v>
      </c>
      <c r="J58" s="453">
        <f t="shared" si="7"/>
        <v>0</v>
      </c>
    </row>
    <row r="59" s="440" customFormat="1" ht="16.5" hidden="1" spans="2:10">
      <c r="B59" s="452">
        <v>42</v>
      </c>
      <c r="C59" s="453">
        <f t="shared" si="0"/>
        <v>0</v>
      </c>
      <c r="D59" s="453">
        <f t="shared" si="1"/>
        <v>0</v>
      </c>
      <c r="E59" s="453">
        <f t="shared" si="2"/>
        <v>0</v>
      </c>
      <c r="F59" s="453">
        <f t="shared" si="3"/>
        <v>0</v>
      </c>
      <c r="G59" s="453">
        <f t="shared" si="4"/>
        <v>0</v>
      </c>
      <c r="H59" s="453">
        <f t="shared" si="5"/>
        <v>0</v>
      </c>
      <c r="I59" s="453">
        <f t="shared" si="6"/>
        <v>0</v>
      </c>
      <c r="J59" s="453">
        <f t="shared" si="7"/>
        <v>0</v>
      </c>
    </row>
    <row r="60" s="440" customFormat="1" ht="16.5" hidden="1" spans="2:10">
      <c r="B60" s="452">
        <v>43</v>
      </c>
      <c r="C60" s="453">
        <f t="shared" si="0"/>
        <v>0</v>
      </c>
      <c r="D60" s="453">
        <f t="shared" si="1"/>
        <v>0</v>
      </c>
      <c r="E60" s="453">
        <f t="shared" si="2"/>
        <v>0</v>
      </c>
      <c r="F60" s="453">
        <f t="shared" si="3"/>
        <v>0</v>
      </c>
      <c r="G60" s="453">
        <f t="shared" si="4"/>
        <v>0</v>
      </c>
      <c r="H60" s="453">
        <f t="shared" si="5"/>
        <v>0</v>
      </c>
      <c r="I60" s="453">
        <f t="shared" si="6"/>
        <v>0</v>
      </c>
      <c r="J60" s="453">
        <f t="shared" si="7"/>
        <v>0</v>
      </c>
    </row>
    <row r="61" s="440" customFormat="1" ht="16.5" hidden="1" spans="2:10">
      <c r="B61" s="452">
        <v>44</v>
      </c>
      <c r="C61" s="453">
        <f t="shared" si="0"/>
        <v>0</v>
      </c>
      <c r="D61" s="453">
        <f t="shared" si="1"/>
        <v>0</v>
      </c>
      <c r="E61" s="453">
        <f t="shared" si="2"/>
        <v>0</v>
      </c>
      <c r="F61" s="453">
        <f t="shared" si="3"/>
        <v>0</v>
      </c>
      <c r="G61" s="453">
        <f t="shared" si="4"/>
        <v>0</v>
      </c>
      <c r="H61" s="453">
        <f t="shared" si="5"/>
        <v>0</v>
      </c>
      <c r="I61" s="453">
        <f t="shared" si="6"/>
        <v>0</v>
      </c>
      <c r="J61" s="453">
        <f t="shared" si="7"/>
        <v>0</v>
      </c>
    </row>
    <row r="62" s="440" customFormat="1" ht="16.5" hidden="1" spans="2:10">
      <c r="B62" s="452">
        <v>45</v>
      </c>
      <c r="C62" s="453">
        <f t="shared" si="0"/>
        <v>0</v>
      </c>
      <c r="D62" s="453">
        <f t="shared" si="1"/>
        <v>0</v>
      </c>
      <c r="E62" s="453">
        <f t="shared" si="2"/>
        <v>0</v>
      </c>
      <c r="F62" s="453">
        <f t="shared" si="3"/>
        <v>0</v>
      </c>
      <c r="G62" s="453">
        <f t="shared" si="4"/>
        <v>0</v>
      </c>
      <c r="H62" s="453">
        <f t="shared" si="5"/>
        <v>0</v>
      </c>
      <c r="I62" s="453">
        <f t="shared" si="6"/>
        <v>0</v>
      </c>
      <c r="J62" s="453">
        <f t="shared" si="7"/>
        <v>0</v>
      </c>
    </row>
    <row r="63" s="440" customFormat="1" ht="16.5" hidden="1" spans="2:10">
      <c r="B63" s="452">
        <v>46</v>
      </c>
      <c r="C63" s="453">
        <f t="shared" si="0"/>
        <v>0</v>
      </c>
      <c r="D63" s="453">
        <f t="shared" si="1"/>
        <v>0</v>
      </c>
      <c r="E63" s="453">
        <f t="shared" si="2"/>
        <v>0</v>
      </c>
      <c r="F63" s="453">
        <f t="shared" si="3"/>
        <v>0</v>
      </c>
      <c r="G63" s="453">
        <f t="shared" si="4"/>
        <v>0</v>
      </c>
      <c r="H63" s="453">
        <f t="shared" si="5"/>
        <v>0</v>
      </c>
      <c r="I63" s="453">
        <f t="shared" si="6"/>
        <v>0</v>
      </c>
      <c r="J63" s="453">
        <f t="shared" si="7"/>
        <v>0</v>
      </c>
    </row>
    <row r="64" s="440" customFormat="1" ht="16.5" hidden="1" spans="2:10">
      <c r="B64" s="452">
        <v>47</v>
      </c>
      <c r="C64" s="453">
        <f t="shared" si="0"/>
        <v>0</v>
      </c>
      <c r="D64" s="453">
        <f t="shared" si="1"/>
        <v>0</v>
      </c>
      <c r="E64" s="453">
        <f t="shared" si="2"/>
        <v>0</v>
      </c>
      <c r="F64" s="453">
        <f t="shared" si="3"/>
        <v>0</v>
      </c>
      <c r="G64" s="453">
        <f t="shared" si="4"/>
        <v>0</v>
      </c>
      <c r="H64" s="453">
        <f t="shared" si="5"/>
        <v>0</v>
      </c>
      <c r="I64" s="453">
        <f t="shared" si="6"/>
        <v>0</v>
      </c>
      <c r="J64" s="453">
        <f t="shared" si="7"/>
        <v>0</v>
      </c>
    </row>
    <row r="65" s="440" customFormat="1" ht="16.5" hidden="1" spans="2:10">
      <c r="B65" s="452">
        <v>48</v>
      </c>
      <c r="C65" s="453">
        <f t="shared" si="0"/>
        <v>0</v>
      </c>
      <c r="D65" s="453">
        <f t="shared" si="1"/>
        <v>0</v>
      </c>
      <c r="E65" s="453">
        <f t="shared" si="2"/>
        <v>0</v>
      </c>
      <c r="F65" s="453">
        <f t="shared" si="3"/>
        <v>0</v>
      </c>
      <c r="G65" s="453">
        <f t="shared" si="4"/>
        <v>0</v>
      </c>
      <c r="H65" s="453">
        <f t="shared" si="5"/>
        <v>0</v>
      </c>
      <c r="I65" s="453">
        <f t="shared" si="6"/>
        <v>0</v>
      </c>
      <c r="J65" s="453">
        <f t="shared" si="7"/>
        <v>0</v>
      </c>
    </row>
    <row r="66" s="440" customFormat="1" ht="16.5" hidden="1" spans="2:10">
      <c r="B66" s="452">
        <v>49</v>
      </c>
      <c r="C66" s="453">
        <f t="shared" si="0"/>
        <v>0</v>
      </c>
      <c r="D66" s="453">
        <f t="shared" si="1"/>
        <v>0</v>
      </c>
      <c r="E66" s="453">
        <f t="shared" si="2"/>
        <v>0</v>
      </c>
      <c r="F66" s="453">
        <f t="shared" si="3"/>
        <v>0</v>
      </c>
      <c r="G66" s="453">
        <f t="shared" si="4"/>
        <v>0</v>
      </c>
      <c r="H66" s="453">
        <f t="shared" si="5"/>
        <v>0</v>
      </c>
      <c r="I66" s="453">
        <f t="shared" si="6"/>
        <v>0</v>
      </c>
      <c r="J66" s="453">
        <f t="shared" si="7"/>
        <v>0</v>
      </c>
    </row>
    <row r="67" s="440" customFormat="1" ht="16.5" hidden="1" spans="2:10">
      <c r="B67" s="452">
        <v>50</v>
      </c>
      <c r="C67" s="453">
        <f t="shared" si="0"/>
        <v>0</v>
      </c>
      <c r="D67" s="453">
        <f t="shared" si="1"/>
        <v>0</v>
      </c>
      <c r="E67" s="453">
        <f t="shared" si="2"/>
        <v>0</v>
      </c>
      <c r="F67" s="453">
        <f t="shared" si="3"/>
        <v>0</v>
      </c>
      <c r="G67" s="453">
        <f t="shared" si="4"/>
        <v>0</v>
      </c>
      <c r="H67" s="453">
        <f t="shared" si="5"/>
        <v>0</v>
      </c>
      <c r="I67" s="453">
        <f t="shared" si="6"/>
        <v>0</v>
      </c>
      <c r="J67" s="453">
        <f t="shared" si="7"/>
        <v>0</v>
      </c>
    </row>
    <row r="68" s="440" customFormat="1" ht="16.5" hidden="1" spans="2:10">
      <c r="B68" s="452">
        <v>51</v>
      </c>
      <c r="C68" s="453">
        <f t="shared" si="0"/>
        <v>0</v>
      </c>
      <c r="D68" s="453">
        <f t="shared" si="1"/>
        <v>0</v>
      </c>
      <c r="E68" s="453">
        <f t="shared" si="2"/>
        <v>0</v>
      </c>
      <c r="F68" s="453">
        <f t="shared" si="3"/>
        <v>0</v>
      </c>
      <c r="G68" s="453">
        <f t="shared" si="4"/>
        <v>0</v>
      </c>
      <c r="H68" s="453">
        <f t="shared" si="5"/>
        <v>0</v>
      </c>
      <c r="I68" s="453">
        <f t="shared" si="6"/>
        <v>0</v>
      </c>
      <c r="J68" s="453">
        <f t="shared" si="7"/>
        <v>0</v>
      </c>
    </row>
    <row r="69" s="440" customFormat="1" ht="16.5" hidden="1" spans="2:10">
      <c r="B69" s="452">
        <v>52</v>
      </c>
      <c r="C69" s="453">
        <f t="shared" si="0"/>
        <v>0</v>
      </c>
      <c r="D69" s="453">
        <f t="shared" si="1"/>
        <v>0</v>
      </c>
      <c r="E69" s="453">
        <f t="shared" si="2"/>
        <v>0</v>
      </c>
      <c r="F69" s="453">
        <f t="shared" si="3"/>
        <v>0</v>
      </c>
      <c r="G69" s="453">
        <f t="shared" si="4"/>
        <v>0</v>
      </c>
      <c r="H69" s="453">
        <f t="shared" si="5"/>
        <v>0</v>
      </c>
      <c r="I69" s="453">
        <f t="shared" si="6"/>
        <v>0</v>
      </c>
      <c r="J69" s="453">
        <f t="shared" si="7"/>
        <v>0</v>
      </c>
    </row>
    <row r="70" s="440" customFormat="1" ht="16.5" hidden="1" spans="2:10">
      <c r="B70" s="452">
        <v>53</v>
      </c>
      <c r="C70" s="453">
        <f t="shared" si="0"/>
        <v>0</v>
      </c>
      <c r="D70" s="453">
        <f t="shared" si="1"/>
        <v>0</v>
      </c>
      <c r="E70" s="453">
        <f t="shared" si="2"/>
        <v>0</v>
      </c>
      <c r="F70" s="453">
        <f t="shared" si="3"/>
        <v>0</v>
      </c>
      <c r="G70" s="453">
        <f t="shared" si="4"/>
        <v>0</v>
      </c>
      <c r="H70" s="453">
        <f t="shared" si="5"/>
        <v>0</v>
      </c>
      <c r="I70" s="453">
        <f t="shared" si="6"/>
        <v>0</v>
      </c>
      <c r="J70" s="453">
        <f t="shared" si="7"/>
        <v>0</v>
      </c>
    </row>
    <row r="71" s="440" customFormat="1" ht="16.5" hidden="1" spans="2:10">
      <c r="B71" s="452">
        <v>54</v>
      </c>
      <c r="C71" s="453">
        <f t="shared" si="0"/>
        <v>0</v>
      </c>
      <c r="D71" s="453">
        <f t="shared" si="1"/>
        <v>0</v>
      </c>
      <c r="E71" s="453">
        <f t="shared" si="2"/>
        <v>0</v>
      </c>
      <c r="F71" s="453">
        <f t="shared" si="3"/>
        <v>0</v>
      </c>
      <c r="G71" s="453">
        <f t="shared" si="4"/>
        <v>0</v>
      </c>
      <c r="H71" s="453">
        <f t="shared" si="5"/>
        <v>0</v>
      </c>
      <c r="I71" s="453">
        <f t="shared" si="6"/>
        <v>0</v>
      </c>
      <c r="J71" s="453">
        <f t="shared" si="7"/>
        <v>0</v>
      </c>
    </row>
    <row r="72" s="440" customFormat="1" ht="16.5" hidden="1" spans="2:10">
      <c r="B72" s="452">
        <v>55</v>
      </c>
      <c r="C72" s="453">
        <f t="shared" si="0"/>
        <v>0</v>
      </c>
      <c r="D72" s="453">
        <f t="shared" si="1"/>
        <v>0</v>
      </c>
      <c r="E72" s="453">
        <f t="shared" si="2"/>
        <v>0</v>
      </c>
      <c r="F72" s="453">
        <f t="shared" si="3"/>
        <v>0</v>
      </c>
      <c r="G72" s="453">
        <f t="shared" si="4"/>
        <v>0</v>
      </c>
      <c r="H72" s="453">
        <f t="shared" si="5"/>
        <v>0</v>
      </c>
      <c r="I72" s="453">
        <f t="shared" si="6"/>
        <v>0</v>
      </c>
      <c r="J72" s="453">
        <f t="shared" si="7"/>
        <v>0</v>
      </c>
    </row>
    <row r="73" s="440" customFormat="1" ht="16.5" hidden="1" spans="2:10">
      <c r="B73" s="452">
        <v>56</v>
      </c>
      <c r="C73" s="453">
        <f t="shared" si="0"/>
        <v>0</v>
      </c>
      <c r="D73" s="453">
        <f t="shared" si="1"/>
        <v>0</v>
      </c>
      <c r="E73" s="453">
        <f t="shared" si="2"/>
        <v>0</v>
      </c>
      <c r="F73" s="453">
        <f t="shared" si="3"/>
        <v>0</v>
      </c>
      <c r="G73" s="453">
        <f t="shared" si="4"/>
        <v>0</v>
      </c>
      <c r="H73" s="453">
        <f t="shared" si="5"/>
        <v>0</v>
      </c>
      <c r="I73" s="453">
        <f t="shared" si="6"/>
        <v>0</v>
      </c>
      <c r="J73" s="453">
        <f t="shared" si="7"/>
        <v>0</v>
      </c>
    </row>
    <row r="74" s="440" customFormat="1" ht="16.5" hidden="1" spans="2:10">
      <c r="B74" s="452">
        <v>57</v>
      </c>
      <c r="C74" s="453">
        <f t="shared" si="0"/>
        <v>0</v>
      </c>
      <c r="D74" s="453">
        <f t="shared" si="1"/>
        <v>0</v>
      </c>
      <c r="E74" s="453">
        <f t="shared" si="2"/>
        <v>0</v>
      </c>
      <c r="F74" s="453">
        <f t="shared" si="3"/>
        <v>0</v>
      </c>
      <c r="G74" s="453">
        <f t="shared" si="4"/>
        <v>0</v>
      </c>
      <c r="H74" s="453">
        <f t="shared" si="5"/>
        <v>0</v>
      </c>
      <c r="I74" s="453">
        <f t="shared" si="6"/>
        <v>0</v>
      </c>
      <c r="J74" s="453">
        <f t="shared" si="7"/>
        <v>0</v>
      </c>
    </row>
    <row r="75" s="440" customFormat="1" ht="16.5" hidden="1" spans="2:10">
      <c r="B75" s="452">
        <v>58</v>
      </c>
      <c r="C75" s="453">
        <f t="shared" si="0"/>
        <v>0</v>
      </c>
      <c r="D75" s="453">
        <f t="shared" si="1"/>
        <v>0</v>
      </c>
      <c r="E75" s="453">
        <f t="shared" si="2"/>
        <v>0</v>
      </c>
      <c r="F75" s="453">
        <f t="shared" si="3"/>
        <v>0</v>
      </c>
      <c r="G75" s="453">
        <f t="shared" si="4"/>
        <v>0</v>
      </c>
      <c r="H75" s="453">
        <f t="shared" si="5"/>
        <v>0</v>
      </c>
      <c r="I75" s="453">
        <f t="shared" si="6"/>
        <v>0</v>
      </c>
      <c r="J75" s="453">
        <f t="shared" si="7"/>
        <v>0</v>
      </c>
    </row>
    <row r="76" s="440" customFormat="1" ht="16.5" hidden="1" spans="2:10">
      <c r="B76" s="452">
        <v>59</v>
      </c>
      <c r="C76" s="453">
        <f t="shared" si="0"/>
        <v>0</v>
      </c>
      <c r="D76" s="453">
        <f t="shared" si="1"/>
        <v>0</v>
      </c>
      <c r="E76" s="453">
        <f t="shared" si="2"/>
        <v>0</v>
      </c>
      <c r="F76" s="453">
        <f t="shared" si="3"/>
        <v>0</v>
      </c>
      <c r="G76" s="453">
        <f t="shared" si="4"/>
        <v>0</v>
      </c>
      <c r="H76" s="453">
        <f t="shared" si="5"/>
        <v>0</v>
      </c>
      <c r="I76" s="453">
        <f t="shared" si="6"/>
        <v>0</v>
      </c>
      <c r="J76" s="453">
        <f t="shared" si="7"/>
        <v>0</v>
      </c>
    </row>
    <row r="77" s="440" customFormat="1" ht="16.5" hidden="1" spans="2:10">
      <c r="B77" s="452">
        <v>60</v>
      </c>
      <c r="C77" s="453">
        <f t="shared" si="0"/>
        <v>0</v>
      </c>
      <c r="D77" s="453">
        <f t="shared" si="1"/>
        <v>0</v>
      </c>
      <c r="E77" s="453">
        <f t="shared" si="2"/>
        <v>0</v>
      </c>
      <c r="F77" s="453">
        <f t="shared" si="3"/>
        <v>0</v>
      </c>
      <c r="G77" s="453">
        <f t="shared" si="4"/>
        <v>0</v>
      </c>
      <c r="H77" s="453">
        <f t="shared" si="5"/>
        <v>0</v>
      </c>
      <c r="I77" s="453">
        <f t="shared" si="6"/>
        <v>0</v>
      </c>
      <c r="J77" s="453">
        <f t="shared" si="7"/>
        <v>0</v>
      </c>
    </row>
    <row r="78" s="440" customFormat="1" ht="16.5" hidden="1" spans="2:10">
      <c r="B78" s="452">
        <v>61</v>
      </c>
      <c r="C78" s="453">
        <f t="shared" si="0"/>
        <v>0</v>
      </c>
      <c r="D78" s="453">
        <f t="shared" si="1"/>
        <v>0</v>
      </c>
      <c r="E78" s="453">
        <f t="shared" si="2"/>
        <v>0</v>
      </c>
      <c r="F78" s="453">
        <f t="shared" si="3"/>
        <v>0</v>
      </c>
      <c r="G78" s="453">
        <f t="shared" si="4"/>
        <v>0</v>
      </c>
      <c r="H78" s="453">
        <f t="shared" si="5"/>
        <v>0</v>
      </c>
      <c r="I78" s="453">
        <f t="shared" si="6"/>
        <v>0</v>
      </c>
      <c r="J78" s="453">
        <f t="shared" si="7"/>
        <v>0</v>
      </c>
    </row>
    <row r="79" s="440" customFormat="1" ht="16.5" hidden="1" spans="2:10">
      <c r="B79" s="452">
        <v>62</v>
      </c>
      <c r="C79" s="453">
        <f t="shared" si="0"/>
        <v>0</v>
      </c>
      <c r="D79" s="453">
        <f t="shared" si="1"/>
        <v>0</v>
      </c>
      <c r="E79" s="453">
        <f t="shared" si="2"/>
        <v>0</v>
      </c>
      <c r="F79" s="453">
        <f t="shared" si="3"/>
        <v>0</v>
      </c>
      <c r="G79" s="453">
        <f t="shared" si="4"/>
        <v>0</v>
      </c>
      <c r="H79" s="453">
        <f t="shared" si="5"/>
        <v>0</v>
      </c>
      <c r="I79" s="453">
        <f t="shared" si="6"/>
        <v>0</v>
      </c>
      <c r="J79" s="453">
        <f t="shared" si="7"/>
        <v>0</v>
      </c>
    </row>
    <row r="80" s="440" customFormat="1" ht="16.5" hidden="1" spans="2:10">
      <c r="B80" s="452">
        <v>63</v>
      </c>
      <c r="C80" s="453">
        <f t="shared" si="0"/>
        <v>0</v>
      </c>
      <c r="D80" s="453">
        <f t="shared" si="1"/>
        <v>0</v>
      </c>
      <c r="E80" s="453">
        <f t="shared" si="2"/>
        <v>0</v>
      </c>
      <c r="F80" s="453">
        <f t="shared" si="3"/>
        <v>0</v>
      </c>
      <c r="G80" s="453">
        <f t="shared" si="4"/>
        <v>0</v>
      </c>
      <c r="H80" s="453">
        <f t="shared" si="5"/>
        <v>0</v>
      </c>
      <c r="I80" s="453">
        <f t="shared" si="6"/>
        <v>0</v>
      </c>
      <c r="J80" s="453">
        <f t="shared" si="7"/>
        <v>0</v>
      </c>
    </row>
    <row r="81" s="440" customFormat="1" ht="16.5" hidden="1" spans="2:10">
      <c r="B81" s="452">
        <v>64</v>
      </c>
      <c r="C81" s="453">
        <f t="shared" si="0"/>
        <v>0</v>
      </c>
      <c r="D81" s="453">
        <f t="shared" si="1"/>
        <v>0</v>
      </c>
      <c r="E81" s="453">
        <f t="shared" si="2"/>
        <v>0</v>
      </c>
      <c r="F81" s="453">
        <f t="shared" si="3"/>
        <v>0</v>
      </c>
      <c r="G81" s="453">
        <f t="shared" si="4"/>
        <v>0</v>
      </c>
      <c r="H81" s="453">
        <f t="shared" si="5"/>
        <v>0</v>
      </c>
      <c r="I81" s="453">
        <f t="shared" si="6"/>
        <v>0</v>
      </c>
      <c r="J81" s="453">
        <f t="shared" si="7"/>
        <v>0</v>
      </c>
    </row>
    <row r="82" s="440" customFormat="1" ht="16.5" hidden="1" spans="2:10">
      <c r="B82" s="452">
        <v>65</v>
      </c>
      <c r="C82" s="453">
        <f t="shared" ref="C82:C137" si="8">$I$3/($I$4*12)</f>
        <v>0</v>
      </c>
      <c r="D82" s="453">
        <f t="shared" ref="D82:D137" si="9">ISPMT($I$5/12,B82,$I$4*12,-$I$3)</f>
        <v>0</v>
      </c>
      <c r="E82" s="453">
        <f t="shared" ref="E82:E137" si="10">C82+D82</f>
        <v>0</v>
      </c>
      <c r="F82" s="453">
        <f t="shared" ref="F82:F137" si="11">F81-C82</f>
        <v>0</v>
      </c>
      <c r="G82" s="453">
        <f t="shared" ref="G82:G137" si="12">PPMT($I$5/12,B82,$I$4*12,-$I$3)</f>
        <v>0</v>
      </c>
      <c r="H82" s="453">
        <f t="shared" ref="H82:H137" si="13">IPMT($I$5/12,B82,$I$4*12,-$I$3)</f>
        <v>0</v>
      </c>
      <c r="I82" s="453">
        <f t="shared" ref="I82:I137" si="14">G82+H82</f>
        <v>0</v>
      </c>
      <c r="J82" s="453">
        <f t="shared" ref="J82:J137" si="15">J81-G82</f>
        <v>0</v>
      </c>
    </row>
    <row r="83" s="440" customFormat="1" ht="16.5" hidden="1" spans="2:10">
      <c r="B83" s="452">
        <v>66</v>
      </c>
      <c r="C83" s="453">
        <f t="shared" si="8"/>
        <v>0</v>
      </c>
      <c r="D83" s="453">
        <f t="shared" si="9"/>
        <v>0</v>
      </c>
      <c r="E83" s="453">
        <f t="shared" si="10"/>
        <v>0</v>
      </c>
      <c r="F83" s="453">
        <f t="shared" si="11"/>
        <v>0</v>
      </c>
      <c r="G83" s="453">
        <f t="shared" si="12"/>
        <v>0</v>
      </c>
      <c r="H83" s="453">
        <f t="shared" si="13"/>
        <v>0</v>
      </c>
      <c r="I83" s="453">
        <f t="shared" si="14"/>
        <v>0</v>
      </c>
      <c r="J83" s="453">
        <f t="shared" si="15"/>
        <v>0</v>
      </c>
    </row>
    <row r="84" s="440" customFormat="1" ht="16.5" hidden="1" spans="2:10">
      <c r="B84" s="452">
        <v>67</v>
      </c>
      <c r="C84" s="453">
        <f t="shared" si="8"/>
        <v>0</v>
      </c>
      <c r="D84" s="453">
        <f t="shared" si="9"/>
        <v>0</v>
      </c>
      <c r="E84" s="453">
        <f t="shared" si="10"/>
        <v>0</v>
      </c>
      <c r="F84" s="453">
        <f t="shared" si="11"/>
        <v>0</v>
      </c>
      <c r="G84" s="453">
        <f t="shared" si="12"/>
        <v>0</v>
      </c>
      <c r="H84" s="453">
        <f t="shared" si="13"/>
        <v>0</v>
      </c>
      <c r="I84" s="453">
        <f t="shared" si="14"/>
        <v>0</v>
      </c>
      <c r="J84" s="453">
        <f t="shared" si="15"/>
        <v>0</v>
      </c>
    </row>
    <row r="85" s="440" customFormat="1" ht="16.5" hidden="1" spans="2:10">
      <c r="B85" s="452">
        <v>68</v>
      </c>
      <c r="C85" s="453">
        <f t="shared" si="8"/>
        <v>0</v>
      </c>
      <c r="D85" s="453">
        <f t="shared" si="9"/>
        <v>0</v>
      </c>
      <c r="E85" s="453">
        <f t="shared" si="10"/>
        <v>0</v>
      </c>
      <c r="F85" s="453">
        <f t="shared" si="11"/>
        <v>0</v>
      </c>
      <c r="G85" s="453">
        <f t="shared" si="12"/>
        <v>0</v>
      </c>
      <c r="H85" s="453">
        <f t="shared" si="13"/>
        <v>0</v>
      </c>
      <c r="I85" s="453">
        <f t="shared" si="14"/>
        <v>0</v>
      </c>
      <c r="J85" s="453">
        <f t="shared" si="15"/>
        <v>0</v>
      </c>
    </row>
    <row r="86" s="440" customFormat="1" ht="16.5" hidden="1" spans="2:10">
      <c r="B86" s="452">
        <v>69</v>
      </c>
      <c r="C86" s="453">
        <f t="shared" si="8"/>
        <v>0</v>
      </c>
      <c r="D86" s="453">
        <f t="shared" si="9"/>
        <v>0</v>
      </c>
      <c r="E86" s="453">
        <f t="shared" si="10"/>
        <v>0</v>
      </c>
      <c r="F86" s="453">
        <f t="shared" si="11"/>
        <v>0</v>
      </c>
      <c r="G86" s="453">
        <f t="shared" si="12"/>
        <v>0</v>
      </c>
      <c r="H86" s="453">
        <f t="shared" si="13"/>
        <v>0</v>
      </c>
      <c r="I86" s="453">
        <f t="shared" si="14"/>
        <v>0</v>
      </c>
      <c r="J86" s="453">
        <f t="shared" si="15"/>
        <v>0</v>
      </c>
    </row>
    <row r="87" s="440" customFormat="1" ht="16.5" hidden="1" spans="2:10">
      <c r="B87" s="452">
        <v>70</v>
      </c>
      <c r="C87" s="453">
        <f t="shared" si="8"/>
        <v>0</v>
      </c>
      <c r="D87" s="453">
        <f t="shared" si="9"/>
        <v>0</v>
      </c>
      <c r="E87" s="453">
        <f t="shared" si="10"/>
        <v>0</v>
      </c>
      <c r="F87" s="453">
        <f t="shared" si="11"/>
        <v>0</v>
      </c>
      <c r="G87" s="453">
        <f t="shared" si="12"/>
        <v>0</v>
      </c>
      <c r="H87" s="453">
        <f t="shared" si="13"/>
        <v>0</v>
      </c>
      <c r="I87" s="453">
        <f t="shared" si="14"/>
        <v>0</v>
      </c>
      <c r="J87" s="453">
        <f t="shared" si="15"/>
        <v>0</v>
      </c>
    </row>
    <row r="88" s="440" customFormat="1" ht="16.5" hidden="1" spans="2:10">
      <c r="B88" s="452">
        <v>71</v>
      </c>
      <c r="C88" s="453">
        <f t="shared" si="8"/>
        <v>0</v>
      </c>
      <c r="D88" s="453">
        <f t="shared" si="9"/>
        <v>0</v>
      </c>
      <c r="E88" s="453">
        <f t="shared" si="10"/>
        <v>0</v>
      </c>
      <c r="F88" s="453">
        <f t="shared" si="11"/>
        <v>0</v>
      </c>
      <c r="G88" s="453">
        <f t="shared" si="12"/>
        <v>0</v>
      </c>
      <c r="H88" s="453">
        <f t="shared" si="13"/>
        <v>0</v>
      </c>
      <c r="I88" s="453">
        <f t="shared" si="14"/>
        <v>0</v>
      </c>
      <c r="J88" s="453">
        <f t="shared" si="15"/>
        <v>0</v>
      </c>
    </row>
    <row r="89" s="440" customFormat="1" ht="16.5" hidden="1" spans="2:10">
      <c r="B89" s="452">
        <v>72</v>
      </c>
      <c r="C89" s="453">
        <f t="shared" si="8"/>
        <v>0</v>
      </c>
      <c r="D89" s="453">
        <f t="shared" si="9"/>
        <v>0</v>
      </c>
      <c r="E89" s="453">
        <f t="shared" si="10"/>
        <v>0</v>
      </c>
      <c r="F89" s="453">
        <f t="shared" si="11"/>
        <v>0</v>
      </c>
      <c r="G89" s="453">
        <f t="shared" si="12"/>
        <v>0</v>
      </c>
      <c r="H89" s="453">
        <f t="shared" si="13"/>
        <v>0</v>
      </c>
      <c r="I89" s="453">
        <f t="shared" si="14"/>
        <v>0</v>
      </c>
      <c r="J89" s="453">
        <f t="shared" si="15"/>
        <v>0</v>
      </c>
    </row>
    <row r="90" s="440" customFormat="1" ht="16.5" hidden="1" spans="2:10">
      <c r="B90" s="452">
        <v>73</v>
      </c>
      <c r="C90" s="453">
        <f t="shared" si="8"/>
        <v>0</v>
      </c>
      <c r="D90" s="453">
        <f t="shared" si="9"/>
        <v>0</v>
      </c>
      <c r="E90" s="453">
        <f t="shared" si="10"/>
        <v>0</v>
      </c>
      <c r="F90" s="453">
        <f t="shared" si="11"/>
        <v>0</v>
      </c>
      <c r="G90" s="453">
        <f t="shared" si="12"/>
        <v>0</v>
      </c>
      <c r="H90" s="453">
        <f t="shared" si="13"/>
        <v>0</v>
      </c>
      <c r="I90" s="453">
        <f t="shared" si="14"/>
        <v>0</v>
      </c>
      <c r="J90" s="453">
        <f t="shared" si="15"/>
        <v>0</v>
      </c>
    </row>
    <row r="91" s="440" customFormat="1" ht="16.5" hidden="1" spans="2:10">
      <c r="B91" s="452">
        <v>74</v>
      </c>
      <c r="C91" s="453">
        <f t="shared" si="8"/>
        <v>0</v>
      </c>
      <c r="D91" s="453">
        <f t="shared" si="9"/>
        <v>0</v>
      </c>
      <c r="E91" s="453">
        <f t="shared" si="10"/>
        <v>0</v>
      </c>
      <c r="F91" s="453">
        <f t="shared" si="11"/>
        <v>0</v>
      </c>
      <c r="G91" s="453">
        <f t="shared" si="12"/>
        <v>0</v>
      </c>
      <c r="H91" s="453">
        <f t="shared" si="13"/>
        <v>0</v>
      </c>
      <c r="I91" s="453">
        <f t="shared" si="14"/>
        <v>0</v>
      </c>
      <c r="J91" s="453">
        <f t="shared" si="15"/>
        <v>0</v>
      </c>
    </row>
    <row r="92" s="440" customFormat="1" ht="16.5" hidden="1" spans="2:10">
      <c r="B92" s="452">
        <v>75</v>
      </c>
      <c r="C92" s="453">
        <f t="shared" si="8"/>
        <v>0</v>
      </c>
      <c r="D92" s="453">
        <f t="shared" si="9"/>
        <v>0</v>
      </c>
      <c r="E92" s="453">
        <f t="shared" si="10"/>
        <v>0</v>
      </c>
      <c r="F92" s="453">
        <f t="shared" si="11"/>
        <v>0</v>
      </c>
      <c r="G92" s="453">
        <f t="shared" si="12"/>
        <v>0</v>
      </c>
      <c r="H92" s="453">
        <f t="shared" si="13"/>
        <v>0</v>
      </c>
      <c r="I92" s="453">
        <f t="shared" si="14"/>
        <v>0</v>
      </c>
      <c r="J92" s="453">
        <f t="shared" si="15"/>
        <v>0</v>
      </c>
    </row>
    <row r="93" s="440" customFormat="1" ht="16.5" hidden="1" spans="2:10">
      <c r="B93" s="452">
        <v>76</v>
      </c>
      <c r="C93" s="453">
        <f t="shared" si="8"/>
        <v>0</v>
      </c>
      <c r="D93" s="453">
        <f t="shared" si="9"/>
        <v>0</v>
      </c>
      <c r="E93" s="453">
        <f t="shared" si="10"/>
        <v>0</v>
      </c>
      <c r="F93" s="453">
        <f t="shared" si="11"/>
        <v>0</v>
      </c>
      <c r="G93" s="453">
        <f t="shared" si="12"/>
        <v>0</v>
      </c>
      <c r="H93" s="453">
        <f t="shared" si="13"/>
        <v>0</v>
      </c>
      <c r="I93" s="453">
        <f t="shared" si="14"/>
        <v>0</v>
      </c>
      <c r="J93" s="453">
        <f t="shared" si="15"/>
        <v>0</v>
      </c>
    </row>
    <row r="94" s="440" customFormat="1" ht="16.5" hidden="1" spans="2:10">
      <c r="B94" s="452">
        <v>77</v>
      </c>
      <c r="C94" s="453">
        <f t="shared" si="8"/>
        <v>0</v>
      </c>
      <c r="D94" s="453">
        <f t="shared" si="9"/>
        <v>0</v>
      </c>
      <c r="E94" s="453">
        <f t="shared" si="10"/>
        <v>0</v>
      </c>
      <c r="F94" s="453">
        <f t="shared" si="11"/>
        <v>0</v>
      </c>
      <c r="G94" s="453">
        <f t="shared" si="12"/>
        <v>0</v>
      </c>
      <c r="H94" s="453">
        <f t="shared" si="13"/>
        <v>0</v>
      </c>
      <c r="I94" s="453">
        <f t="shared" si="14"/>
        <v>0</v>
      </c>
      <c r="J94" s="453">
        <f t="shared" si="15"/>
        <v>0</v>
      </c>
    </row>
    <row r="95" s="440" customFormat="1" ht="16.5" hidden="1" spans="2:10">
      <c r="B95" s="452">
        <v>78</v>
      </c>
      <c r="C95" s="453">
        <f t="shared" si="8"/>
        <v>0</v>
      </c>
      <c r="D95" s="453">
        <f t="shared" si="9"/>
        <v>0</v>
      </c>
      <c r="E95" s="453">
        <f t="shared" si="10"/>
        <v>0</v>
      </c>
      <c r="F95" s="453">
        <f t="shared" si="11"/>
        <v>0</v>
      </c>
      <c r="G95" s="453">
        <f t="shared" si="12"/>
        <v>0</v>
      </c>
      <c r="H95" s="453">
        <f t="shared" si="13"/>
        <v>0</v>
      </c>
      <c r="I95" s="453">
        <f t="shared" si="14"/>
        <v>0</v>
      </c>
      <c r="J95" s="453">
        <f t="shared" si="15"/>
        <v>0</v>
      </c>
    </row>
    <row r="96" s="440" customFormat="1" ht="16.5" hidden="1" spans="2:10">
      <c r="B96" s="452">
        <v>79</v>
      </c>
      <c r="C96" s="453">
        <f t="shared" si="8"/>
        <v>0</v>
      </c>
      <c r="D96" s="453">
        <f t="shared" si="9"/>
        <v>0</v>
      </c>
      <c r="E96" s="453">
        <f t="shared" si="10"/>
        <v>0</v>
      </c>
      <c r="F96" s="453">
        <f t="shared" si="11"/>
        <v>0</v>
      </c>
      <c r="G96" s="453">
        <f t="shared" si="12"/>
        <v>0</v>
      </c>
      <c r="H96" s="453">
        <f t="shared" si="13"/>
        <v>0</v>
      </c>
      <c r="I96" s="453">
        <f t="shared" si="14"/>
        <v>0</v>
      </c>
      <c r="J96" s="453">
        <f t="shared" si="15"/>
        <v>0</v>
      </c>
    </row>
    <row r="97" s="440" customFormat="1" ht="16.5" hidden="1" spans="2:10">
      <c r="B97" s="452">
        <v>80</v>
      </c>
      <c r="C97" s="453">
        <f t="shared" si="8"/>
        <v>0</v>
      </c>
      <c r="D97" s="453">
        <f t="shared" si="9"/>
        <v>0</v>
      </c>
      <c r="E97" s="453">
        <f t="shared" si="10"/>
        <v>0</v>
      </c>
      <c r="F97" s="453">
        <f t="shared" si="11"/>
        <v>0</v>
      </c>
      <c r="G97" s="453">
        <f t="shared" si="12"/>
        <v>0</v>
      </c>
      <c r="H97" s="453">
        <f t="shared" si="13"/>
        <v>0</v>
      </c>
      <c r="I97" s="453">
        <f t="shared" si="14"/>
        <v>0</v>
      </c>
      <c r="J97" s="453">
        <f t="shared" si="15"/>
        <v>0</v>
      </c>
    </row>
    <row r="98" s="440" customFormat="1" ht="16.5" hidden="1" spans="2:10">
      <c r="B98" s="452">
        <v>81</v>
      </c>
      <c r="C98" s="453">
        <f t="shared" si="8"/>
        <v>0</v>
      </c>
      <c r="D98" s="453">
        <f t="shared" si="9"/>
        <v>0</v>
      </c>
      <c r="E98" s="453">
        <f t="shared" si="10"/>
        <v>0</v>
      </c>
      <c r="F98" s="453">
        <f t="shared" si="11"/>
        <v>0</v>
      </c>
      <c r="G98" s="453">
        <f t="shared" si="12"/>
        <v>0</v>
      </c>
      <c r="H98" s="453">
        <f t="shared" si="13"/>
        <v>0</v>
      </c>
      <c r="I98" s="453">
        <f t="shared" si="14"/>
        <v>0</v>
      </c>
      <c r="J98" s="453">
        <f t="shared" si="15"/>
        <v>0</v>
      </c>
    </row>
    <row r="99" s="440" customFormat="1" ht="16.5" hidden="1" spans="2:10">
      <c r="B99" s="452">
        <v>82</v>
      </c>
      <c r="C99" s="453">
        <f t="shared" si="8"/>
        <v>0</v>
      </c>
      <c r="D99" s="453">
        <f t="shared" si="9"/>
        <v>0</v>
      </c>
      <c r="E99" s="453">
        <f t="shared" si="10"/>
        <v>0</v>
      </c>
      <c r="F99" s="453">
        <f t="shared" si="11"/>
        <v>0</v>
      </c>
      <c r="G99" s="453">
        <f t="shared" si="12"/>
        <v>0</v>
      </c>
      <c r="H99" s="453">
        <f t="shared" si="13"/>
        <v>0</v>
      </c>
      <c r="I99" s="453">
        <f t="shared" si="14"/>
        <v>0</v>
      </c>
      <c r="J99" s="453">
        <f t="shared" si="15"/>
        <v>0</v>
      </c>
    </row>
    <row r="100" s="440" customFormat="1" ht="16.5" hidden="1" spans="2:10">
      <c r="B100" s="452">
        <v>83</v>
      </c>
      <c r="C100" s="453">
        <f t="shared" si="8"/>
        <v>0</v>
      </c>
      <c r="D100" s="453">
        <f t="shared" si="9"/>
        <v>0</v>
      </c>
      <c r="E100" s="453">
        <f t="shared" si="10"/>
        <v>0</v>
      </c>
      <c r="F100" s="453">
        <f t="shared" si="11"/>
        <v>0</v>
      </c>
      <c r="G100" s="453">
        <f t="shared" si="12"/>
        <v>0</v>
      </c>
      <c r="H100" s="453">
        <f t="shared" si="13"/>
        <v>0</v>
      </c>
      <c r="I100" s="453">
        <f t="shared" si="14"/>
        <v>0</v>
      </c>
      <c r="J100" s="453">
        <f t="shared" si="15"/>
        <v>0</v>
      </c>
    </row>
    <row r="101" s="440" customFormat="1" ht="16.5" hidden="1" spans="2:10">
      <c r="B101" s="452">
        <v>84</v>
      </c>
      <c r="C101" s="453">
        <f t="shared" si="8"/>
        <v>0</v>
      </c>
      <c r="D101" s="453">
        <f t="shared" si="9"/>
        <v>0</v>
      </c>
      <c r="E101" s="453">
        <f t="shared" si="10"/>
        <v>0</v>
      </c>
      <c r="F101" s="453">
        <f t="shared" si="11"/>
        <v>0</v>
      </c>
      <c r="G101" s="453">
        <f t="shared" si="12"/>
        <v>0</v>
      </c>
      <c r="H101" s="453">
        <f t="shared" si="13"/>
        <v>0</v>
      </c>
      <c r="I101" s="453">
        <f t="shared" si="14"/>
        <v>0</v>
      </c>
      <c r="J101" s="453">
        <f t="shared" si="15"/>
        <v>0</v>
      </c>
    </row>
    <row r="102" s="440" customFormat="1" ht="16.5" hidden="1" spans="2:10">
      <c r="B102" s="452">
        <v>85</v>
      </c>
      <c r="C102" s="453">
        <f t="shared" si="8"/>
        <v>0</v>
      </c>
      <c r="D102" s="453">
        <f t="shared" si="9"/>
        <v>0</v>
      </c>
      <c r="E102" s="453">
        <f t="shared" si="10"/>
        <v>0</v>
      </c>
      <c r="F102" s="453">
        <f t="shared" si="11"/>
        <v>0</v>
      </c>
      <c r="G102" s="453">
        <f t="shared" si="12"/>
        <v>0</v>
      </c>
      <c r="H102" s="453">
        <f t="shared" si="13"/>
        <v>0</v>
      </c>
      <c r="I102" s="453">
        <f t="shared" si="14"/>
        <v>0</v>
      </c>
      <c r="J102" s="453">
        <f t="shared" si="15"/>
        <v>0</v>
      </c>
    </row>
    <row r="103" s="440" customFormat="1" ht="16.5" hidden="1" spans="2:10">
      <c r="B103" s="452">
        <v>86</v>
      </c>
      <c r="C103" s="453">
        <f t="shared" si="8"/>
        <v>0</v>
      </c>
      <c r="D103" s="453">
        <f t="shared" si="9"/>
        <v>0</v>
      </c>
      <c r="E103" s="453">
        <f t="shared" si="10"/>
        <v>0</v>
      </c>
      <c r="F103" s="453">
        <f t="shared" si="11"/>
        <v>0</v>
      </c>
      <c r="G103" s="453">
        <f t="shared" si="12"/>
        <v>0</v>
      </c>
      <c r="H103" s="453">
        <f t="shared" si="13"/>
        <v>0</v>
      </c>
      <c r="I103" s="453">
        <f t="shared" si="14"/>
        <v>0</v>
      </c>
      <c r="J103" s="453">
        <f t="shared" si="15"/>
        <v>0</v>
      </c>
    </row>
    <row r="104" s="440" customFormat="1" ht="16.5" hidden="1" spans="2:10">
      <c r="B104" s="452">
        <v>87</v>
      </c>
      <c r="C104" s="453">
        <f t="shared" si="8"/>
        <v>0</v>
      </c>
      <c r="D104" s="453">
        <f t="shared" si="9"/>
        <v>0</v>
      </c>
      <c r="E104" s="453">
        <f t="shared" si="10"/>
        <v>0</v>
      </c>
      <c r="F104" s="453">
        <f t="shared" si="11"/>
        <v>0</v>
      </c>
      <c r="G104" s="453">
        <f t="shared" si="12"/>
        <v>0</v>
      </c>
      <c r="H104" s="453">
        <f t="shared" si="13"/>
        <v>0</v>
      </c>
      <c r="I104" s="453">
        <f t="shared" si="14"/>
        <v>0</v>
      </c>
      <c r="J104" s="453">
        <f t="shared" si="15"/>
        <v>0</v>
      </c>
    </row>
    <row r="105" s="440" customFormat="1" ht="16.5" hidden="1" spans="2:10">
      <c r="B105" s="452">
        <v>88</v>
      </c>
      <c r="C105" s="453">
        <f t="shared" si="8"/>
        <v>0</v>
      </c>
      <c r="D105" s="453">
        <f t="shared" si="9"/>
        <v>0</v>
      </c>
      <c r="E105" s="453">
        <f t="shared" si="10"/>
        <v>0</v>
      </c>
      <c r="F105" s="453">
        <f t="shared" si="11"/>
        <v>0</v>
      </c>
      <c r="G105" s="453">
        <f t="shared" si="12"/>
        <v>0</v>
      </c>
      <c r="H105" s="453">
        <f t="shared" si="13"/>
        <v>0</v>
      </c>
      <c r="I105" s="453">
        <f t="shared" si="14"/>
        <v>0</v>
      </c>
      <c r="J105" s="453">
        <f t="shared" si="15"/>
        <v>0</v>
      </c>
    </row>
    <row r="106" s="440" customFormat="1" ht="16.5" hidden="1" spans="2:10">
      <c r="B106" s="452">
        <v>89</v>
      </c>
      <c r="C106" s="453">
        <f t="shared" si="8"/>
        <v>0</v>
      </c>
      <c r="D106" s="453">
        <f t="shared" si="9"/>
        <v>0</v>
      </c>
      <c r="E106" s="453">
        <f t="shared" si="10"/>
        <v>0</v>
      </c>
      <c r="F106" s="453">
        <f t="shared" si="11"/>
        <v>0</v>
      </c>
      <c r="G106" s="453">
        <f t="shared" si="12"/>
        <v>0</v>
      </c>
      <c r="H106" s="453">
        <f t="shared" si="13"/>
        <v>0</v>
      </c>
      <c r="I106" s="453">
        <f t="shared" si="14"/>
        <v>0</v>
      </c>
      <c r="J106" s="453">
        <f t="shared" si="15"/>
        <v>0</v>
      </c>
    </row>
    <row r="107" s="440" customFormat="1" ht="16.5" hidden="1" spans="2:10">
      <c r="B107" s="452">
        <v>90</v>
      </c>
      <c r="C107" s="453">
        <f t="shared" si="8"/>
        <v>0</v>
      </c>
      <c r="D107" s="453">
        <f t="shared" si="9"/>
        <v>0</v>
      </c>
      <c r="E107" s="453">
        <f t="shared" si="10"/>
        <v>0</v>
      </c>
      <c r="F107" s="453">
        <f t="shared" si="11"/>
        <v>0</v>
      </c>
      <c r="G107" s="453">
        <f t="shared" si="12"/>
        <v>0</v>
      </c>
      <c r="H107" s="453">
        <f t="shared" si="13"/>
        <v>0</v>
      </c>
      <c r="I107" s="453">
        <f t="shared" si="14"/>
        <v>0</v>
      </c>
      <c r="J107" s="453">
        <f t="shared" si="15"/>
        <v>0</v>
      </c>
    </row>
    <row r="108" s="440" customFormat="1" ht="16.5" hidden="1" spans="2:10">
      <c r="B108" s="452">
        <v>91</v>
      </c>
      <c r="C108" s="453">
        <f t="shared" si="8"/>
        <v>0</v>
      </c>
      <c r="D108" s="453">
        <f t="shared" si="9"/>
        <v>0</v>
      </c>
      <c r="E108" s="453">
        <f t="shared" si="10"/>
        <v>0</v>
      </c>
      <c r="F108" s="453">
        <f t="shared" si="11"/>
        <v>0</v>
      </c>
      <c r="G108" s="453">
        <f t="shared" si="12"/>
        <v>0</v>
      </c>
      <c r="H108" s="453">
        <f t="shared" si="13"/>
        <v>0</v>
      </c>
      <c r="I108" s="453">
        <f t="shared" si="14"/>
        <v>0</v>
      </c>
      <c r="J108" s="453">
        <f t="shared" si="15"/>
        <v>0</v>
      </c>
    </row>
    <row r="109" s="440" customFormat="1" ht="16.5" hidden="1" spans="2:10">
      <c r="B109" s="452">
        <v>92</v>
      </c>
      <c r="C109" s="453">
        <f t="shared" si="8"/>
        <v>0</v>
      </c>
      <c r="D109" s="453">
        <f t="shared" si="9"/>
        <v>0</v>
      </c>
      <c r="E109" s="453">
        <f t="shared" si="10"/>
        <v>0</v>
      </c>
      <c r="F109" s="453">
        <f t="shared" si="11"/>
        <v>0</v>
      </c>
      <c r="G109" s="453">
        <f t="shared" si="12"/>
        <v>0</v>
      </c>
      <c r="H109" s="453">
        <f t="shared" si="13"/>
        <v>0</v>
      </c>
      <c r="I109" s="453">
        <f t="shared" si="14"/>
        <v>0</v>
      </c>
      <c r="J109" s="453">
        <f t="shared" si="15"/>
        <v>0</v>
      </c>
    </row>
    <row r="110" s="440" customFormat="1" ht="16.5" hidden="1" spans="2:10">
      <c r="B110" s="452">
        <v>93</v>
      </c>
      <c r="C110" s="453">
        <f t="shared" si="8"/>
        <v>0</v>
      </c>
      <c r="D110" s="453">
        <f t="shared" si="9"/>
        <v>0</v>
      </c>
      <c r="E110" s="453">
        <f t="shared" si="10"/>
        <v>0</v>
      </c>
      <c r="F110" s="453">
        <f t="shared" si="11"/>
        <v>0</v>
      </c>
      <c r="G110" s="453">
        <f t="shared" si="12"/>
        <v>0</v>
      </c>
      <c r="H110" s="453">
        <f t="shared" si="13"/>
        <v>0</v>
      </c>
      <c r="I110" s="453">
        <f t="shared" si="14"/>
        <v>0</v>
      </c>
      <c r="J110" s="453">
        <f t="shared" si="15"/>
        <v>0</v>
      </c>
    </row>
    <row r="111" s="440" customFormat="1" ht="16.5" hidden="1" spans="2:10">
      <c r="B111" s="452">
        <v>94</v>
      </c>
      <c r="C111" s="453">
        <f t="shared" si="8"/>
        <v>0</v>
      </c>
      <c r="D111" s="453">
        <f t="shared" si="9"/>
        <v>0</v>
      </c>
      <c r="E111" s="453">
        <f t="shared" si="10"/>
        <v>0</v>
      </c>
      <c r="F111" s="453">
        <f t="shared" si="11"/>
        <v>0</v>
      </c>
      <c r="G111" s="453">
        <f t="shared" si="12"/>
        <v>0</v>
      </c>
      <c r="H111" s="453">
        <f t="shared" si="13"/>
        <v>0</v>
      </c>
      <c r="I111" s="453">
        <f t="shared" si="14"/>
        <v>0</v>
      </c>
      <c r="J111" s="453">
        <f t="shared" si="15"/>
        <v>0</v>
      </c>
    </row>
    <row r="112" s="440" customFormat="1" ht="16.5" hidden="1" spans="2:10">
      <c r="B112" s="452">
        <v>95</v>
      </c>
      <c r="C112" s="453">
        <f t="shared" si="8"/>
        <v>0</v>
      </c>
      <c r="D112" s="453">
        <f t="shared" si="9"/>
        <v>0</v>
      </c>
      <c r="E112" s="453">
        <f t="shared" si="10"/>
        <v>0</v>
      </c>
      <c r="F112" s="453">
        <f t="shared" si="11"/>
        <v>0</v>
      </c>
      <c r="G112" s="453">
        <f t="shared" si="12"/>
        <v>0</v>
      </c>
      <c r="H112" s="453">
        <f t="shared" si="13"/>
        <v>0</v>
      </c>
      <c r="I112" s="453">
        <f t="shared" si="14"/>
        <v>0</v>
      </c>
      <c r="J112" s="453">
        <f t="shared" si="15"/>
        <v>0</v>
      </c>
    </row>
    <row r="113" s="440" customFormat="1" ht="16.5" hidden="1" spans="2:10">
      <c r="B113" s="452">
        <v>96</v>
      </c>
      <c r="C113" s="453">
        <f t="shared" si="8"/>
        <v>0</v>
      </c>
      <c r="D113" s="453">
        <f t="shared" si="9"/>
        <v>0</v>
      </c>
      <c r="E113" s="453">
        <f t="shared" si="10"/>
        <v>0</v>
      </c>
      <c r="F113" s="453">
        <f t="shared" si="11"/>
        <v>0</v>
      </c>
      <c r="G113" s="453">
        <f t="shared" si="12"/>
        <v>0</v>
      </c>
      <c r="H113" s="453">
        <f t="shared" si="13"/>
        <v>0</v>
      </c>
      <c r="I113" s="453">
        <f t="shared" si="14"/>
        <v>0</v>
      </c>
      <c r="J113" s="453">
        <f t="shared" si="15"/>
        <v>0</v>
      </c>
    </row>
    <row r="114" s="440" customFormat="1" ht="16.5" hidden="1" spans="2:10">
      <c r="B114" s="452">
        <v>97</v>
      </c>
      <c r="C114" s="453">
        <f t="shared" si="8"/>
        <v>0</v>
      </c>
      <c r="D114" s="453">
        <f t="shared" si="9"/>
        <v>0</v>
      </c>
      <c r="E114" s="453">
        <f t="shared" si="10"/>
        <v>0</v>
      </c>
      <c r="F114" s="453">
        <f t="shared" si="11"/>
        <v>0</v>
      </c>
      <c r="G114" s="453">
        <f t="shared" si="12"/>
        <v>0</v>
      </c>
      <c r="H114" s="453">
        <f t="shared" si="13"/>
        <v>0</v>
      </c>
      <c r="I114" s="453">
        <f t="shared" si="14"/>
        <v>0</v>
      </c>
      <c r="J114" s="453">
        <f t="shared" si="15"/>
        <v>0</v>
      </c>
    </row>
    <row r="115" s="440" customFormat="1" ht="16.5" hidden="1" spans="2:10">
      <c r="B115" s="452">
        <v>98</v>
      </c>
      <c r="C115" s="453">
        <f t="shared" si="8"/>
        <v>0</v>
      </c>
      <c r="D115" s="453">
        <f t="shared" si="9"/>
        <v>0</v>
      </c>
      <c r="E115" s="453">
        <f t="shared" si="10"/>
        <v>0</v>
      </c>
      <c r="F115" s="453">
        <f t="shared" si="11"/>
        <v>0</v>
      </c>
      <c r="G115" s="453">
        <f t="shared" si="12"/>
        <v>0</v>
      </c>
      <c r="H115" s="453">
        <f t="shared" si="13"/>
        <v>0</v>
      </c>
      <c r="I115" s="453">
        <f t="shared" si="14"/>
        <v>0</v>
      </c>
      <c r="J115" s="453">
        <f t="shared" si="15"/>
        <v>0</v>
      </c>
    </row>
    <row r="116" s="440" customFormat="1" ht="16.5" hidden="1" spans="2:10">
      <c r="B116" s="452">
        <v>99</v>
      </c>
      <c r="C116" s="453">
        <f t="shared" si="8"/>
        <v>0</v>
      </c>
      <c r="D116" s="453">
        <f t="shared" si="9"/>
        <v>0</v>
      </c>
      <c r="E116" s="453">
        <f t="shared" si="10"/>
        <v>0</v>
      </c>
      <c r="F116" s="453">
        <f t="shared" si="11"/>
        <v>0</v>
      </c>
      <c r="G116" s="453">
        <f t="shared" si="12"/>
        <v>0</v>
      </c>
      <c r="H116" s="453">
        <f t="shared" si="13"/>
        <v>0</v>
      </c>
      <c r="I116" s="453">
        <f t="shared" si="14"/>
        <v>0</v>
      </c>
      <c r="J116" s="453">
        <f t="shared" si="15"/>
        <v>0</v>
      </c>
    </row>
    <row r="117" s="440" customFormat="1" ht="16.5" hidden="1" spans="2:10">
      <c r="B117" s="452">
        <v>100</v>
      </c>
      <c r="C117" s="453">
        <f t="shared" si="8"/>
        <v>0</v>
      </c>
      <c r="D117" s="453">
        <f t="shared" si="9"/>
        <v>0</v>
      </c>
      <c r="E117" s="453">
        <f t="shared" si="10"/>
        <v>0</v>
      </c>
      <c r="F117" s="453">
        <f t="shared" si="11"/>
        <v>0</v>
      </c>
      <c r="G117" s="453">
        <f t="shared" si="12"/>
        <v>0</v>
      </c>
      <c r="H117" s="453">
        <f t="shared" si="13"/>
        <v>0</v>
      </c>
      <c r="I117" s="453">
        <f t="shared" si="14"/>
        <v>0</v>
      </c>
      <c r="J117" s="453">
        <f t="shared" si="15"/>
        <v>0</v>
      </c>
    </row>
    <row r="118" s="440" customFormat="1" ht="16.5" hidden="1" spans="2:10">
      <c r="B118" s="452">
        <v>101</v>
      </c>
      <c r="C118" s="453">
        <f t="shared" si="8"/>
        <v>0</v>
      </c>
      <c r="D118" s="453">
        <f t="shared" si="9"/>
        <v>0</v>
      </c>
      <c r="E118" s="453">
        <f t="shared" si="10"/>
        <v>0</v>
      </c>
      <c r="F118" s="453">
        <f t="shared" si="11"/>
        <v>0</v>
      </c>
      <c r="G118" s="453">
        <f t="shared" si="12"/>
        <v>0</v>
      </c>
      <c r="H118" s="453">
        <f t="shared" si="13"/>
        <v>0</v>
      </c>
      <c r="I118" s="453">
        <f t="shared" si="14"/>
        <v>0</v>
      </c>
      <c r="J118" s="453">
        <f t="shared" si="15"/>
        <v>0</v>
      </c>
    </row>
    <row r="119" s="440" customFormat="1" ht="16.5" hidden="1" spans="2:10">
      <c r="B119" s="452">
        <v>102</v>
      </c>
      <c r="C119" s="453">
        <f t="shared" si="8"/>
        <v>0</v>
      </c>
      <c r="D119" s="453">
        <f t="shared" si="9"/>
        <v>0</v>
      </c>
      <c r="E119" s="453">
        <f t="shared" si="10"/>
        <v>0</v>
      </c>
      <c r="F119" s="453">
        <f t="shared" si="11"/>
        <v>0</v>
      </c>
      <c r="G119" s="453">
        <f t="shared" si="12"/>
        <v>0</v>
      </c>
      <c r="H119" s="453">
        <f t="shared" si="13"/>
        <v>0</v>
      </c>
      <c r="I119" s="453">
        <f t="shared" si="14"/>
        <v>0</v>
      </c>
      <c r="J119" s="453">
        <f t="shared" si="15"/>
        <v>0</v>
      </c>
    </row>
    <row r="120" s="440" customFormat="1" ht="16.5" hidden="1" spans="2:10">
      <c r="B120" s="452">
        <v>103</v>
      </c>
      <c r="C120" s="453">
        <f t="shared" si="8"/>
        <v>0</v>
      </c>
      <c r="D120" s="453">
        <f t="shared" si="9"/>
        <v>0</v>
      </c>
      <c r="E120" s="453">
        <f t="shared" si="10"/>
        <v>0</v>
      </c>
      <c r="F120" s="453">
        <f t="shared" si="11"/>
        <v>0</v>
      </c>
      <c r="G120" s="453">
        <f t="shared" si="12"/>
        <v>0</v>
      </c>
      <c r="H120" s="453">
        <f t="shared" si="13"/>
        <v>0</v>
      </c>
      <c r="I120" s="453">
        <f t="shared" si="14"/>
        <v>0</v>
      </c>
      <c r="J120" s="453">
        <f t="shared" si="15"/>
        <v>0</v>
      </c>
    </row>
    <row r="121" s="440" customFormat="1" ht="16.5" hidden="1" spans="2:10">
      <c r="B121" s="452">
        <v>104</v>
      </c>
      <c r="C121" s="453">
        <f t="shared" si="8"/>
        <v>0</v>
      </c>
      <c r="D121" s="453">
        <f t="shared" si="9"/>
        <v>0</v>
      </c>
      <c r="E121" s="453">
        <f t="shared" si="10"/>
        <v>0</v>
      </c>
      <c r="F121" s="453">
        <f t="shared" si="11"/>
        <v>0</v>
      </c>
      <c r="G121" s="453">
        <f t="shared" si="12"/>
        <v>0</v>
      </c>
      <c r="H121" s="453">
        <f t="shared" si="13"/>
        <v>0</v>
      </c>
      <c r="I121" s="453">
        <f t="shared" si="14"/>
        <v>0</v>
      </c>
      <c r="J121" s="453">
        <f t="shared" si="15"/>
        <v>0</v>
      </c>
    </row>
    <row r="122" s="440" customFormat="1" ht="16.5" hidden="1" spans="2:10">
      <c r="B122" s="452">
        <v>105</v>
      </c>
      <c r="C122" s="453">
        <f t="shared" si="8"/>
        <v>0</v>
      </c>
      <c r="D122" s="453">
        <f t="shared" si="9"/>
        <v>0</v>
      </c>
      <c r="E122" s="453">
        <f t="shared" si="10"/>
        <v>0</v>
      </c>
      <c r="F122" s="453">
        <f t="shared" si="11"/>
        <v>0</v>
      </c>
      <c r="G122" s="453">
        <f t="shared" si="12"/>
        <v>0</v>
      </c>
      <c r="H122" s="453">
        <f t="shared" si="13"/>
        <v>0</v>
      </c>
      <c r="I122" s="453">
        <f t="shared" si="14"/>
        <v>0</v>
      </c>
      <c r="J122" s="453">
        <f t="shared" si="15"/>
        <v>0</v>
      </c>
    </row>
    <row r="123" s="440" customFormat="1" ht="16.5" hidden="1" spans="2:10">
      <c r="B123" s="452">
        <v>106</v>
      </c>
      <c r="C123" s="453">
        <f t="shared" si="8"/>
        <v>0</v>
      </c>
      <c r="D123" s="453">
        <f t="shared" si="9"/>
        <v>0</v>
      </c>
      <c r="E123" s="453">
        <f t="shared" si="10"/>
        <v>0</v>
      </c>
      <c r="F123" s="453">
        <f t="shared" si="11"/>
        <v>0</v>
      </c>
      <c r="G123" s="453">
        <f t="shared" si="12"/>
        <v>0</v>
      </c>
      <c r="H123" s="453">
        <f t="shared" si="13"/>
        <v>0</v>
      </c>
      <c r="I123" s="453">
        <f t="shared" si="14"/>
        <v>0</v>
      </c>
      <c r="J123" s="453">
        <f t="shared" si="15"/>
        <v>0</v>
      </c>
    </row>
    <row r="124" s="440" customFormat="1" ht="16.5" hidden="1" spans="2:10">
      <c r="B124" s="452">
        <v>107</v>
      </c>
      <c r="C124" s="453">
        <f t="shared" si="8"/>
        <v>0</v>
      </c>
      <c r="D124" s="453">
        <f t="shared" si="9"/>
        <v>0</v>
      </c>
      <c r="E124" s="453">
        <f t="shared" si="10"/>
        <v>0</v>
      </c>
      <c r="F124" s="453">
        <f t="shared" si="11"/>
        <v>0</v>
      </c>
      <c r="G124" s="453">
        <f t="shared" si="12"/>
        <v>0</v>
      </c>
      <c r="H124" s="453">
        <f t="shared" si="13"/>
        <v>0</v>
      </c>
      <c r="I124" s="453">
        <f t="shared" si="14"/>
        <v>0</v>
      </c>
      <c r="J124" s="453">
        <f t="shared" si="15"/>
        <v>0</v>
      </c>
    </row>
    <row r="125" s="440" customFormat="1" ht="16.5" hidden="1" spans="2:10">
      <c r="B125" s="452">
        <v>108</v>
      </c>
      <c r="C125" s="453">
        <f t="shared" si="8"/>
        <v>0</v>
      </c>
      <c r="D125" s="453">
        <f t="shared" si="9"/>
        <v>0</v>
      </c>
      <c r="E125" s="453">
        <f t="shared" si="10"/>
        <v>0</v>
      </c>
      <c r="F125" s="453">
        <f t="shared" si="11"/>
        <v>0</v>
      </c>
      <c r="G125" s="453">
        <f t="shared" si="12"/>
        <v>0</v>
      </c>
      <c r="H125" s="453">
        <f t="shared" si="13"/>
        <v>0</v>
      </c>
      <c r="I125" s="453">
        <f t="shared" si="14"/>
        <v>0</v>
      </c>
      <c r="J125" s="453">
        <f t="shared" si="15"/>
        <v>0</v>
      </c>
    </row>
    <row r="126" s="440" customFormat="1" ht="16.5" hidden="1" spans="2:10">
      <c r="B126" s="452">
        <v>109</v>
      </c>
      <c r="C126" s="453">
        <f t="shared" si="8"/>
        <v>0</v>
      </c>
      <c r="D126" s="453">
        <f t="shared" si="9"/>
        <v>0</v>
      </c>
      <c r="E126" s="453">
        <f t="shared" si="10"/>
        <v>0</v>
      </c>
      <c r="F126" s="453">
        <f t="shared" si="11"/>
        <v>0</v>
      </c>
      <c r="G126" s="453">
        <f t="shared" si="12"/>
        <v>0</v>
      </c>
      <c r="H126" s="453">
        <f t="shared" si="13"/>
        <v>0</v>
      </c>
      <c r="I126" s="453">
        <f t="shared" si="14"/>
        <v>0</v>
      </c>
      <c r="J126" s="453">
        <f t="shared" si="15"/>
        <v>0</v>
      </c>
    </row>
    <row r="127" s="440" customFormat="1" ht="16.5" hidden="1" spans="2:10">
      <c r="B127" s="452">
        <v>110</v>
      </c>
      <c r="C127" s="453">
        <f t="shared" si="8"/>
        <v>0</v>
      </c>
      <c r="D127" s="453">
        <f t="shared" si="9"/>
        <v>0</v>
      </c>
      <c r="E127" s="453">
        <f t="shared" si="10"/>
        <v>0</v>
      </c>
      <c r="F127" s="453">
        <f t="shared" si="11"/>
        <v>0</v>
      </c>
      <c r="G127" s="453">
        <f t="shared" si="12"/>
        <v>0</v>
      </c>
      <c r="H127" s="453">
        <f t="shared" si="13"/>
        <v>0</v>
      </c>
      <c r="I127" s="453">
        <f t="shared" si="14"/>
        <v>0</v>
      </c>
      <c r="J127" s="453">
        <f t="shared" si="15"/>
        <v>0</v>
      </c>
    </row>
    <row r="128" s="440" customFormat="1" ht="16.5" hidden="1" spans="2:10">
      <c r="B128" s="452">
        <v>111</v>
      </c>
      <c r="C128" s="453">
        <f t="shared" si="8"/>
        <v>0</v>
      </c>
      <c r="D128" s="453">
        <f t="shared" si="9"/>
        <v>0</v>
      </c>
      <c r="E128" s="453">
        <f t="shared" si="10"/>
        <v>0</v>
      </c>
      <c r="F128" s="453">
        <f t="shared" si="11"/>
        <v>0</v>
      </c>
      <c r="G128" s="453">
        <f t="shared" si="12"/>
        <v>0</v>
      </c>
      <c r="H128" s="453">
        <f t="shared" si="13"/>
        <v>0</v>
      </c>
      <c r="I128" s="453">
        <f t="shared" si="14"/>
        <v>0</v>
      </c>
      <c r="J128" s="453">
        <f t="shared" si="15"/>
        <v>0</v>
      </c>
    </row>
    <row r="129" s="440" customFormat="1" ht="16.5" hidden="1" spans="2:10">
      <c r="B129" s="452">
        <v>112</v>
      </c>
      <c r="C129" s="453">
        <f t="shared" si="8"/>
        <v>0</v>
      </c>
      <c r="D129" s="453">
        <f t="shared" si="9"/>
        <v>0</v>
      </c>
      <c r="E129" s="453">
        <f t="shared" si="10"/>
        <v>0</v>
      </c>
      <c r="F129" s="453">
        <f t="shared" si="11"/>
        <v>0</v>
      </c>
      <c r="G129" s="453">
        <f t="shared" si="12"/>
        <v>0</v>
      </c>
      <c r="H129" s="453">
        <f t="shared" si="13"/>
        <v>0</v>
      </c>
      <c r="I129" s="453">
        <f t="shared" si="14"/>
        <v>0</v>
      </c>
      <c r="J129" s="453">
        <f t="shared" si="15"/>
        <v>0</v>
      </c>
    </row>
    <row r="130" s="440" customFormat="1" ht="16.5" hidden="1" spans="2:10">
      <c r="B130" s="452">
        <v>113</v>
      </c>
      <c r="C130" s="453">
        <f t="shared" si="8"/>
        <v>0</v>
      </c>
      <c r="D130" s="453">
        <f t="shared" si="9"/>
        <v>0</v>
      </c>
      <c r="E130" s="453">
        <f t="shared" si="10"/>
        <v>0</v>
      </c>
      <c r="F130" s="453">
        <f t="shared" si="11"/>
        <v>0</v>
      </c>
      <c r="G130" s="453">
        <f t="shared" si="12"/>
        <v>0</v>
      </c>
      <c r="H130" s="453">
        <f t="shared" si="13"/>
        <v>0</v>
      </c>
      <c r="I130" s="453">
        <f t="shared" si="14"/>
        <v>0</v>
      </c>
      <c r="J130" s="453">
        <f t="shared" si="15"/>
        <v>0</v>
      </c>
    </row>
    <row r="131" s="440" customFormat="1" ht="16.5" hidden="1" spans="2:10">
      <c r="B131" s="452">
        <v>114</v>
      </c>
      <c r="C131" s="453">
        <f t="shared" si="8"/>
        <v>0</v>
      </c>
      <c r="D131" s="453">
        <f t="shared" si="9"/>
        <v>0</v>
      </c>
      <c r="E131" s="453">
        <f t="shared" si="10"/>
        <v>0</v>
      </c>
      <c r="F131" s="453">
        <f t="shared" si="11"/>
        <v>0</v>
      </c>
      <c r="G131" s="453">
        <f t="shared" si="12"/>
        <v>0</v>
      </c>
      <c r="H131" s="453">
        <f t="shared" si="13"/>
        <v>0</v>
      </c>
      <c r="I131" s="453">
        <f t="shared" si="14"/>
        <v>0</v>
      </c>
      <c r="J131" s="453">
        <f t="shared" si="15"/>
        <v>0</v>
      </c>
    </row>
    <row r="132" s="440" customFormat="1" ht="16.5" hidden="1" spans="2:10">
      <c r="B132" s="452">
        <v>115</v>
      </c>
      <c r="C132" s="453">
        <f t="shared" si="8"/>
        <v>0</v>
      </c>
      <c r="D132" s="453">
        <f t="shared" si="9"/>
        <v>0</v>
      </c>
      <c r="E132" s="453">
        <f t="shared" si="10"/>
        <v>0</v>
      </c>
      <c r="F132" s="453">
        <f t="shared" si="11"/>
        <v>0</v>
      </c>
      <c r="G132" s="453">
        <f t="shared" si="12"/>
        <v>0</v>
      </c>
      <c r="H132" s="453">
        <f t="shared" si="13"/>
        <v>0</v>
      </c>
      <c r="I132" s="453">
        <f t="shared" si="14"/>
        <v>0</v>
      </c>
      <c r="J132" s="453">
        <f t="shared" si="15"/>
        <v>0</v>
      </c>
    </row>
    <row r="133" s="440" customFormat="1" ht="16.5" hidden="1" spans="2:10">
      <c r="B133" s="452">
        <v>116</v>
      </c>
      <c r="C133" s="453">
        <f t="shared" si="8"/>
        <v>0</v>
      </c>
      <c r="D133" s="453">
        <f t="shared" si="9"/>
        <v>0</v>
      </c>
      <c r="E133" s="453">
        <f t="shared" si="10"/>
        <v>0</v>
      </c>
      <c r="F133" s="453">
        <f t="shared" si="11"/>
        <v>0</v>
      </c>
      <c r="G133" s="453">
        <f t="shared" si="12"/>
        <v>0</v>
      </c>
      <c r="H133" s="453">
        <f t="shared" si="13"/>
        <v>0</v>
      </c>
      <c r="I133" s="453">
        <f t="shared" si="14"/>
        <v>0</v>
      </c>
      <c r="J133" s="453">
        <f t="shared" si="15"/>
        <v>0</v>
      </c>
    </row>
    <row r="134" s="440" customFormat="1" ht="16.5" hidden="1" spans="2:10">
      <c r="B134" s="452">
        <v>117</v>
      </c>
      <c r="C134" s="453">
        <f t="shared" si="8"/>
        <v>0</v>
      </c>
      <c r="D134" s="453">
        <f t="shared" si="9"/>
        <v>0</v>
      </c>
      <c r="E134" s="453">
        <f t="shared" si="10"/>
        <v>0</v>
      </c>
      <c r="F134" s="453">
        <f t="shared" si="11"/>
        <v>0</v>
      </c>
      <c r="G134" s="453">
        <f t="shared" si="12"/>
        <v>0</v>
      </c>
      <c r="H134" s="453">
        <f t="shared" si="13"/>
        <v>0</v>
      </c>
      <c r="I134" s="453">
        <f t="shared" si="14"/>
        <v>0</v>
      </c>
      <c r="J134" s="453">
        <f t="shared" si="15"/>
        <v>0</v>
      </c>
    </row>
    <row r="135" s="440" customFormat="1" ht="16.5" spans="2:10">
      <c r="B135" s="452">
        <v>118</v>
      </c>
      <c r="C135" s="453">
        <f t="shared" si="8"/>
        <v>0</v>
      </c>
      <c r="D135" s="453">
        <f t="shared" si="9"/>
        <v>0</v>
      </c>
      <c r="E135" s="453">
        <f t="shared" si="10"/>
        <v>0</v>
      </c>
      <c r="F135" s="453">
        <f t="shared" si="11"/>
        <v>0</v>
      </c>
      <c r="G135" s="453">
        <f t="shared" si="12"/>
        <v>0</v>
      </c>
      <c r="H135" s="453">
        <f t="shared" si="13"/>
        <v>0</v>
      </c>
      <c r="I135" s="453">
        <f t="shared" si="14"/>
        <v>0</v>
      </c>
      <c r="J135" s="453">
        <f t="shared" si="15"/>
        <v>0</v>
      </c>
    </row>
    <row r="136" s="440" customFormat="1" ht="16.5" spans="2:10">
      <c r="B136" s="452">
        <v>119</v>
      </c>
      <c r="C136" s="453">
        <f t="shared" si="8"/>
        <v>0</v>
      </c>
      <c r="D136" s="453">
        <f t="shared" si="9"/>
        <v>0</v>
      </c>
      <c r="E136" s="453">
        <f t="shared" si="10"/>
        <v>0</v>
      </c>
      <c r="F136" s="453">
        <f t="shared" si="11"/>
        <v>0</v>
      </c>
      <c r="G136" s="453">
        <f t="shared" si="12"/>
        <v>0</v>
      </c>
      <c r="H136" s="453">
        <f t="shared" si="13"/>
        <v>0</v>
      </c>
      <c r="I136" s="453">
        <f t="shared" si="14"/>
        <v>0</v>
      </c>
      <c r="J136" s="453">
        <f t="shared" si="15"/>
        <v>0</v>
      </c>
    </row>
    <row r="137" s="440" customFormat="1" ht="16.5" spans="2:10">
      <c r="B137" s="452">
        <v>120</v>
      </c>
      <c r="C137" s="453">
        <f t="shared" si="8"/>
        <v>0</v>
      </c>
      <c r="D137" s="453">
        <f t="shared" si="9"/>
        <v>0</v>
      </c>
      <c r="E137" s="453">
        <f t="shared" si="10"/>
        <v>0</v>
      </c>
      <c r="F137" s="453">
        <f t="shared" si="11"/>
        <v>0</v>
      </c>
      <c r="G137" s="453">
        <f t="shared" si="12"/>
        <v>0</v>
      </c>
      <c r="H137" s="453">
        <f t="shared" si="13"/>
        <v>0</v>
      </c>
      <c r="I137" s="453">
        <f t="shared" si="14"/>
        <v>0</v>
      </c>
      <c r="J137" s="464">
        <f t="shared" si="15"/>
        <v>0</v>
      </c>
    </row>
    <row r="138" s="440" customFormat="1" ht="16.5" spans="2:10">
      <c r="B138" s="451" t="s">
        <v>1108</v>
      </c>
      <c r="C138" s="453">
        <f t="shared" ref="C138:H138" si="16">SUM(C17:C137)</f>
        <v>0</v>
      </c>
      <c r="D138" s="453">
        <f t="shared" si="16"/>
        <v>0</v>
      </c>
      <c r="E138" s="463"/>
      <c r="F138" s="463"/>
      <c r="G138" s="453">
        <f t="shared" si="16"/>
        <v>0</v>
      </c>
      <c r="H138" s="453">
        <f t="shared" si="16"/>
        <v>0</v>
      </c>
      <c r="I138" s="463"/>
      <c r="J138" s="463"/>
    </row>
  </sheetData>
  <mergeCells count="4">
    <mergeCell ref="B14:J14"/>
    <mergeCell ref="B15:F15"/>
    <mergeCell ref="G15:J15"/>
    <mergeCell ref="G1:G12"/>
  </mergeCells>
  <dataValidations count="1">
    <dataValidation type="list" allowBlank="1" showInputMessage="1" showErrorMessage="1" sqref="J8">
      <formula1>$E$8:$E$9</formula1>
    </dataValidation>
  </dataValidations>
  <printOptions horizontalCentered="1"/>
  <pageMargins left="0.349305555555556" right="0.349305555555556" top="0.979166666666667" bottom="0.979166666666667" header="0.509027777777778" footer="0.509027777777778"/>
  <pageSetup paperSize="9" orientation="landscape" horizontalDpi="200"/>
  <headerFooter alignWithMargins="0" scaleWithDoc="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IV15"/>
  <sheetViews>
    <sheetView workbookViewId="0">
      <selection activeCell="D8" sqref="D8"/>
    </sheetView>
  </sheetViews>
  <sheetFormatPr defaultColWidth="9" defaultRowHeight="14.25"/>
  <cols>
    <col min="1" max="1" width="20.625" style="418" customWidth="1"/>
    <col min="2" max="5" width="15.625" style="418" customWidth="1"/>
    <col min="6" max="251" width="9" style="418"/>
    <col min="252" max="256" width="9" style="419"/>
  </cols>
  <sheetData>
    <row r="1" s="414" customFormat="1" ht="25.5" spans="1:256">
      <c r="A1" s="420" t="s">
        <v>1109</v>
      </c>
      <c r="B1" s="420"/>
      <c r="C1" s="420"/>
      <c r="D1" s="420"/>
      <c r="E1" s="420"/>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c r="BK1" s="418"/>
      <c r="BL1" s="418"/>
      <c r="BM1" s="418"/>
      <c r="BN1" s="418"/>
      <c r="BO1" s="418"/>
      <c r="BP1" s="418"/>
      <c r="BQ1" s="418"/>
      <c r="BR1" s="418"/>
      <c r="BS1" s="418"/>
      <c r="BT1" s="418"/>
      <c r="BU1" s="418"/>
      <c r="BV1" s="418"/>
      <c r="BW1" s="418"/>
      <c r="BX1" s="418"/>
      <c r="BY1" s="418"/>
      <c r="BZ1" s="418"/>
      <c r="CA1" s="418"/>
      <c r="CB1" s="418"/>
      <c r="CC1" s="418"/>
      <c r="CD1" s="418"/>
      <c r="CE1" s="418"/>
      <c r="CF1" s="418"/>
      <c r="CG1" s="418"/>
      <c r="CH1" s="418"/>
      <c r="CI1" s="418"/>
      <c r="CJ1" s="418"/>
      <c r="CK1" s="418"/>
      <c r="CL1" s="418"/>
      <c r="CM1" s="418"/>
      <c r="CN1" s="418"/>
      <c r="CO1" s="418"/>
      <c r="CP1" s="418"/>
      <c r="CQ1" s="418"/>
      <c r="CR1" s="418"/>
      <c r="CS1" s="418"/>
      <c r="CT1" s="418"/>
      <c r="CU1" s="418"/>
      <c r="CV1" s="418"/>
      <c r="CW1" s="418"/>
      <c r="CX1" s="418"/>
      <c r="CY1" s="418"/>
      <c r="CZ1" s="418"/>
      <c r="DA1" s="418"/>
      <c r="DB1" s="418"/>
      <c r="DC1" s="418"/>
      <c r="DD1" s="418"/>
      <c r="DE1" s="418"/>
      <c r="DF1" s="418"/>
      <c r="DG1" s="418"/>
      <c r="DH1" s="418"/>
      <c r="DI1" s="418"/>
      <c r="DJ1" s="418"/>
      <c r="DK1" s="418"/>
      <c r="DL1" s="418"/>
      <c r="DM1" s="418"/>
      <c r="DN1" s="418"/>
      <c r="DO1" s="418"/>
      <c r="DP1" s="418"/>
      <c r="DQ1" s="418"/>
      <c r="DR1" s="418"/>
      <c r="DS1" s="418"/>
      <c r="DT1" s="418"/>
      <c r="DU1" s="418"/>
      <c r="DV1" s="418"/>
      <c r="DW1" s="418"/>
      <c r="DX1" s="418"/>
      <c r="DY1" s="418"/>
      <c r="DZ1" s="418"/>
      <c r="EA1" s="418"/>
      <c r="EB1" s="418"/>
      <c r="EC1" s="418"/>
      <c r="ED1" s="418"/>
      <c r="EE1" s="418"/>
      <c r="EF1" s="418"/>
      <c r="EG1" s="418"/>
      <c r="EH1" s="418"/>
      <c r="EI1" s="418"/>
      <c r="EJ1" s="418"/>
      <c r="EK1" s="418"/>
      <c r="EL1" s="418"/>
      <c r="EM1" s="418"/>
      <c r="EN1" s="418"/>
      <c r="EO1" s="418"/>
      <c r="EP1" s="418"/>
      <c r="EQ1" s="418"/>
      <c r="ER1" s="418"/>
      <c r="ES1" s="418"/>
      <c r="ET1" s="418"/>
      <c r="EU1" s="418"/>
      <c r="EV1" s="418"/>
      <c r="EW1" s="418"/>
      <c r="EX1" s="418"/>
      <c r="EY1" s="418"/>
      <c r="EZ1" s="418"/>
      <c r="FA1" s="418"/>
      <c r="FB1" s="418"/>
      <c r="FC1" s="418"/>
      <c r="FD1" s="418"/>
      <c r="FE1" s="418"/>
      <c r="FF1" s="418"/>
      <c r="FG1" s="418"/>
      <c r="FH1" s="418"/>
      <c r="FI1" s="418"/>
      <c r="FJ1" s="418"/>
      <c r="FK1" s="418"/>
      <c r="FL1" s="418"/>
      <c r="FM1" s="418"/>
      <c r="FN1" s="418"/>
      <c r="FO1" s="418"/>
      <c r="FP1" s="418"/>
      <c r="FQ1" s="418"/>
      <c r="FR1" s="418"/>
      <c r="FS1" s="418"/>
      <c r="FT1" s="418"/>
      <c r="FU1" s="418"/>
      <c r="FV1" s="418"/>
      <c r="FW1" s="418"/>
      <c r="FX1" s="418"/>
      <c r="FY1" s="418"/>
      <c r="FZ1" s="418"/>
      <c r="GA1" s="418"/>
      <c r="GB1" s="418"/>
      <c r="GC1" s="418"/>
      <c r="GD1" s="418"/>
      <c r="GE1" s="418"/>
      <c r="GF1" s="418"/>
      <c r="GG1" s="418"/>
      <c r="GH1" s="418"/>
      <c r="GI1" s="418"/>
      <c r="GJ1" s="418"/>
      <c r="GK1" s="418"/>
      <c r="GL1" s="418"/>
      <c r="GM1" s="418"/>
      <c r="GN1" s="418"/>
      <c r="GO1" s="418"/>
      <c r="GP1" s="418"/>
      <c r="GQ1" s="418"/>
      <c r="GR1" s="418"/>
      <c r="GS1" s="418"/>
      <c r="GT1" s="418"/>
      <c r="GU1" s="418"/>
      <c r="GV1" s="418"/>
      <c r="GW1" s="418"/>
      <c r="GX1" s="418"/>
      <c r="GY1" s="418"/>
      <c r="GZ1" s="418"/>
      <c r="HA1" s="418"/>
      <c r="HB1" s="418"/>
      <c r="HC1" s="418"/>
      <c r="HD1" s="418"/>
      <c r="HE1" s="418"/>
      <c r="HF1" s="418"/>
      <c r="HG1" s="418"/>
      <c r="HH1" s="418"/>
      <c r="HI1" s="418"/>
      <c r="HJ1" s="418"/>
      <c r="HK1" s="418"/>
      <c r="HL1" s="418"/>
      <c r="HM1" s="418"/>
      <c r="HN1" s="418"/>
      <c r="HO1" s="418"/>
      <c r="HP1" s="418"/>
      <c r="HQ1" s="418"/>
      <c r="HR1" s="418"/>
      <c r="HS1" s="418"/>
      <c r="HT1" s="418"/>
      <c r="HU1" s="418"/>
      <c r="HV1" s="418"/>
      <c r="HW1" s="418"/>
      <c r="HX1" s="418"/>
      <c r="HY1" s="418"/>
      <c r="HZ1" s="418"/>
      <c r="IA1" s="418"/>
      <c r="IB1" s="418"/>
      <c r="IC1" s="418"/>
      <c r="ID1" s="418"/>
      <c r="IE1" s="418"/>
      <c r="IF1" s="418"/>
      <c r="IG1" s="418"/>
      <c r="IH1" s="418"/>
      <c r="II1" s="418"/>
      <c r="IJ1" s="418"/>
      <c r="IK1" s="418"/>
      <c r="IL1" s="418"/>
      <c r="IM1" s="418"/>
      <c r="IN1" s="418"/>
      <c r="IO1" s="418"/>
      <c r="IP1" s="418"/>
      <c r="IQ1" s="418"/>
      <c r="IR1" s="419"/>
      <c r="IS1" s="419"/>
      <c r="IT1" s="419"/>
      <c r="IU1" s="419"/>
      <c r="IV1" s="419"/>
    </row>
    <row r="2" s="415" customFormat="1" ht="24.95" customHeight="1" spans="1:256">
      <c r="A2" s="421">
        <f>资产负债表!A3</f>
        <v>0</v>
      </c>
      <c r="B2" s="421"/>
      <c r="C2" s="422"/>
      <c r="D2" s="422"/>
      <c r="E2" s="423" t="str">
        <f>资产负债表!F3</f>
        <v>单位：元 </v>
      </c>
      <c r="F2" s="424"/>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c r="AT2" s="424"/>
      <c r="AU2" s="424"/>
      <c r="AV2" s="424"/>
      <c r="AW2" s="424"/>
      <c r="AX2" s="424"/>
      <c r="AY2" s="424"/>
      <c r="AZ2" s="424"/>
      <c r="BA2" s="424"/>
      <c r="BB2" s="424"/>
      <c r="BC2" s="424"/>
      <c r="BD2" s="424"/>
      <c r="BE2" s="424"/>
      <c r="BF2" s="424"/>
      <c r="BG2" s="424"/>
      <c r="BH2" s="424"/>
      <c r="BI2" s="424"/>
      <c r="BJ2" s="424"/>
      <c r="BK2" s="424"/>
      <c r="BL2" s="424"/>
      <c r="BM2" s="424"/>
      <c r="BN2" s="424"/>
      <c r="BO2" s="424"/>
      <c r="BP2" s="424"/>
      <c r="BQ2" s="424"/>
      <c r="BR2" s="424"/>
      <c r="BS2" s="424"/>
      <c r="BT2" s="424"/>
      <c r="BU2" s="424"/>
      <c r="BV2" s="424"/>
      <c r="BW2" s="424"/>
      <c r="BX2" s="424"/>
      <c r="BY2" s="424"/>
      <c r="BZ2" s="424"/>
      <c r="CA2" s="424"/>
      <c r="CB2" s="424"/>
      <c r="CC2" s="424"/>
      <c r="CD2" s="424"/>
      <c r="CE2" s="424"/>
      <c r="CF2" s="424"/>
      <c r="CG2" s="424"/>
      <c r="CH2" s="424"/>
      <c r="CI2" s="424"/>
      <c r="CJ2" s="424"/>
      <c r="CK2" s="424"/>
      <c r="CL2" s="424"/>
      <c r="CM2" s="424"/>
      <c r="CN2" s="424"/>
      <c r="CO2" s="424"/>
      <c r="CP2" s="424"/>
      <c r="CQ2" s="424"/>
      <c r="CR2" s="424"/>
      <c r="CS2" s="424"/>
      <c r="CT2" s="424"/>
      <c r="CU2" s="424"/>
      <c r="CV2" s="424"/>
      <c r="CW2" s="424"/>
      <c r="CX2" s="424"/>
      <c r="CY2" s="424"/>
      <c r="CZ2" s="424"/>
      <c r="DA2" s="424"/>
      <c r="DB2" s="424"/>
      <c r="DC2" s="424"/>
      <c r="DD2" s="424"/>
      <c r="DE2" s="424"/>
      <c r="DF2" s="424"/>
      <c r="DG2" s="424"/>
      <c r="DH2" s="424"/>
      <c r="DI2" s="424"/>
      <c r="DJ2" s="424"/>
      <c r="DK2" s="424"/>
      <c r="DL2" s="424"/>
      <c r="DM2" s="424"/>
      <c r="DN2" s="424"/>
      <c r="DO2" s="424"/>
      <c r="DP2" s="424"/>
      <c r="DQ2" s="424"/>
      <c r="DR2" s="424"/>
      <c r="DS2" s="424"/>
      <c r="DT2" s="424"/>
      <c r="DU2" s="424"/>
      <c r="DV2" s="424"/>
      <c r="DW2" s="424"/>
      <c r="DX2" s="424"/>
      <c r="DY2" s="424"/>
      <c r="DZ2" s="424"/>
      <c r="EA2" s="424"/>
      <c r="EB2" s="424"/>
      <c r="EC2" s="424"/>
      <c r="ED2" s="424"/>
      <c r="EE2" s="424"/>
      <c r="EF2" s="424"/>
      <c r="EG2" s="424"/>
      <c r="EH2" s="424"/>
      <c r="EI2" s="424"/>
      <c r="EJ2" s="424"/>
      <c r="EK2" s="424"/>
      <c r="EL2" s="424"/>
      <c r="EM2" s="424"/>
      <c r="EN2" s="424"/>
      <c r="EO2" s="424"/>
      <c r="EP2" s="424"/>
      <c r="EQ2" s="424"/>
      <c r="ER2" s="424"/>
      <c r="ES2" s="424"/>
      <c r="ET2" s="424"/>
      <c r="EU2" s="424"/>
      <c r="EV2" s="424"/>
      <c r="EW2" s="424"/>
      <c r="EX2" s="424"/>
      <c r="EY2" s="424"/>
      <c r="EZ2" s="424"/>
      <c r="FA2" s="424"/>
      <c r="FB2" s="424"/>
      <c r="FC2" s="424"/>
      <c r="FD2" s="424"/>
      <c r="FE2" s="424"/>
      <c r="FF2" s="424"/>
      <c r="FG2" s="424"/>
      <c r="FH2" s="424"/>
      <c r="FI2" s="424"/>
      <c r="FJ2" s="424"/>
      <c r="FK2" s="424"/>
      <c r="FL2" s="424"/>
      <c r="FM2" s="424"/>
      <c r="FN2" s="424"/>
      <c r="FO2" s="424"/>
      <c r="FP2" s="424"/>
      <c r="FQ2" s="424"/>
      <c r="FR2" s="424"/>
      <c r="FS2" s="424"/>
      <c r="FT2" s="424"/>
      <c r="FU2" s="424"/>
      <c r="FV2" s="424"/>
      <c r="FW2" s="424"/>
      <c r="FX2" s="424"/>
      <c r="FY2" s="424"/>
      <c r="FZ2" s="424"/>
      <c r="GA2" s="424"/>
      <c r="GB2" s="424"/>
      <c r="GC2" s="424"/>
      <c r="GD2" s="424"/>
      <c r="GE2" s="424"/>
      <c r="GF2" s="424"/>
      <c r="GG2" s="424"/>
      <c r="GH2" s="424"/>
      <c r="GI2" s="424"/>
      <c r="GJ2" s="424"/>
      <c r="GK2" s="424"/>
      <c r="GL2" s="424"/>
      <c r="GM2" s="424"/>
      <c r="GN2" s="424"/>
      <c r="GO2" s="424"/>
      <c r="GP2" s="424"/>
      <c r="GQ2" s="424"/>
      <c r="GR2" s="424"/>
      <c r="GS2" s="424"/>
      <c r="GT2" s="424"/>
      <c r="GU2" s="424"/>
      <c r="GV2" s="424"/>
      <c r="GW2" s="424"/>
      <c r="GX2" s="424"/>
      <c r="GY2" s="424"/>
      <c r="GZ2" s="424"/>
      <c r="HA2" s="424"/>
      <c r="HB2" s="424"/>
      <c r="HC2" s="424"/>
      <c r="HD2" s="424"/>
      <c r="HE2" s="424"/>
      <c r="HF2" s="424"/>
      <c r="HG2" s="424"/>
      <c r="HH2" s="424"/>
      <c r="HI2" s="424"/>
      <c r="HJ2" s="424"/>
      <c r="HK2" s="424"/>
      <c r="HL2" s="424"/>
      <c r="HM2" s="424"/>
      <c r="HN2" s="424"/>
      <c r="HO2" s="424"/>
      <c r="HP2" s="424"/>
      <c r="HQ2" s="424"/>
      <c r="HR2" s="424"/>
      <c r="HS2" s="424"/>
      <c r="HT2" s="424"/>
      <c r="HU2" s="424"/>
      <c r="HV2" s="424"/>
      <c r="HW2" s="424"/>
      <c r="HX2" s="424"/>
      <c r="HY2" s="424"/>
      <c r="HZ2" s="424"/>
      <c r="IA2" s="424"/>
      <c r="IB2" s="424"/>
      <c r="IC2" s="424"/>
      <c r="ID2" s="424"/>
      <c r="IE2" s="424"/>
      <c r="IF2" s="424"/>
      <c r="IG2" s="424"/>
      <c r="IH2" s="424"/>
      <c r="II2" s="424"/>
      <c r="IJ2" s="424"/>
      <c r="IK2" s="424"/>
      <c r="IL2" s="424"/>
      <c r="IM2" s="424"/>
      <c r="IN2" s="424"/>
      <c r="IO2" s="424"/>
      <c r="IP2" s="424"/>
      <c r="IQ2" s="424"/>
      <c r="IR2" s="424"/>
      <c r="IS2" s="424"/>
      <c r="IT2" s="424"/>
      <c r="IU2" s="424"/>
      <c r="IV2" s="424"/>
    </row>
    <row r="3" s="416" customFormat="1" ht="24.95" customHeight="1" spans="1:256">
      <c r="A3" s="425" t="s">
        <v>996</v>
      </c>
      <c r="B3" s="425" t="s">
        <v>1110</v>
      </c>
      <c r="C3" s="425" t="s">
        <v>1111</v>
      </c>
      <c r="D3" s="425" t="s">
        <v>1112</v>
      </c>
      <c r="E3" s="425" t="s">
        <v>707</v>
      </c>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B3" s="426"/>
      <c r="CC3" s="426"/>
      <c r="CD3" s="426"/>
      <c r="CE3" s="426"/>
      <c r="CF3" s="426"/>
      <c r="CG3" s="426"/>
      <c r="CH3" s="426"/>
      <c r="CI3" s="426"/>
      <c r="CJ3" s="426"/>
      <c r="CK3" s="426"/>
      <c r="CL3" s="426"/>
      <c r="CM3" s="426"/>
      <c r="CN3" s="426"/>
      <c r="CO3" s="426"/>
      <c r="CP3" s="426"/>
      <c r="CQ3" s="426"/>
      <c r="CR3" s="426"/>
      <c r="CS3" s="426"/>
      <c r="CT3" s="426"/>
      <c r="CU3" s="426"/>
      <c r="CV3" s="426"/>
      <c r="CW3" s="426"/>
      <c r="CX3" s="426"/>
      <c r="CY3" s="426"/>
      <c r="CZ3" s="426"/>
      <c r="DA3" s="426"/>
      <c r="DB3" s="426"/>
      <c r="DC3" s="426"/>
      <c r="DD3" s="426"/>
      <c r="DE3" s="426"/>
      <c r="DF3" s="426"/>
      <c r="DG3" s="426"/>
      <c r="DH3" s="426"/>
      <c r="DI3" s="426"/>
      <c r="DJ3" s="426"/>
      <c r="DK3" s="426"/>
      <c r="DL3" s="426"/>
      <c r="DM3" s="426"/>
      <c r="DN3" s="426"/>
      <c r="DO3" s="426"/>
      <c r="DP3" s="426"/>
      <c r="DQ3" s="426"/>
      <c r="DR3" s="426"/>
      <c r="DS3" s="426"/>
      <c r="DT3" s="426"/>
      <c r="DU3" s="426"/>
      <c r="DV3" s="426"/>
      <c r="DW3" s="426"/>
      <c r="DX3" s="426"/>
      <c r="DY3" s="426"/>
      <c r="DZ3" s="426"/>
      <c r="EA3" s="426"/>
      <c r="EB3" s="426"/>
      <c r="EC3" s="426"/>
      <c r="ED3" s="426"/>
      <c r="EE3" s="426"/>
      <c r="EF3" s="426"/>
      <c r="EG3" s="426"/>
      <c r="EH3" s="426"/>
      <c r="EI3" s="426"/>
      <c r="EJ3" s="426"/>
      <c r="EK3" s="426"/>
      <c r="EL3" s="426"/>
      <c r="EM3" s="426"/>
      <c r="EN3" s="426"/>
      <c r="EO3" s="426"/>
      <c r="EP3" s="426"/>
      <c r="EQ3" s="426"/>
      <c r="ER3" s="426"/>
      <c r="ES3" s="426"/>
      <c r="ET3" s="426"/>
      <c r="EU3" s="426"/>
      <c r="EV3" s="426"/>
      <c r="EW3" s="426"/>
      <c r="EX3" s="426"/>
      <c r="EY3" s="426"/>
      <c r="EZ3" s="426"/>
      <c r="FA3" s="426"/>
      <c r="FB3" s="426"/>
      <c r="FC3" s="426"/>
      <c r="FD3" s="426"/>
      <c r="FE3" s="426"/>
      <c r="FF3" s="426"/>
      <c r="FG3" s="426"/>
      <c r="FH3" s="426"/>
      <c r="FI3" s="426"/>
      <c r="FJ3" s="426"/>
      <c r="FK3" s="426"/>
      <c r="FL3" s="426"/>
      <c r="FM3" s="426"/>
      <c r="FN3" s="426"/>
      <c r="FO3" s="426"/>
      <c r="FP3" s="426"/>
      <c r="FQ3" s="426"/>
      <c r="FR3" s="426"/>
      <c r="FS3" s="426"/>
      <c r="FT3" s="426"/>
      <c r="FU3" s="426"/>
      <c r="FV3" s="426"/>
      <c r="FW3" s="426"/>
      <c r="FX3" s="426"/>
      <c r="FY3" s="426"/>
      <c r="FZ3" s="426"/>
      <c r="GA3" s="426"/>
      <c r="GB3" s="426"/>
      <c r="GC3" s="426"/>
      <c r="GD3" s="426"/>
      <c r="GE3" s="426"/>
      <c r="GF3" s="426"/>
      <c r="GG3" s="426"/>
      <c r="GH3" s="426"/>
      <c r="GI3" s="426"/>
      <c r="GJ3" s="426"/>
      <c r="GK3" s="426"/>
      <c r="GL3" s="426"/>
      <c r="GM3" s="426"/>
      <c r="GN3" s="426"/>
      <c r="GO3" s="426"/>
      <c r="GP3" s="426"/>
      <c r="GQ3" s="426"/>
      <c r="GR3" s="426"/>
      <c r="GS3" s="426"/>
      <c r="GT3" s="426"/>
      <c r="GU3" s="426"/>
      <c r="GV3" s="426"/>
      <c r="GW3" s="426"/>
      <c r="GX3" s="426"/>
      <c r="GY3" s="426"/>
      <c r="GZ3" s="426"/>
      <c r="HA3" s="426"/>
      <c r="HB3" s="426"/>
      <c r="HC3" s="426"/>
      <c r="HD3" s="426"/>
      <c r="HE3" s="426"/>
      <c r="HF3" s="426"/>
      <c r="HG3" s="426"/>
      <c r="HH3" s="426"/>
      <c r="HI3" s="426"/>
      <c r="HJ3" s="426"/>
      <c r="HK3" s="426"/>
      <c r="HL3" s="426"/>
      <c r="HM3" s="426"/>
      <c r="HN3" s="426"/>
      <c r="HO3" s="426"/>
      <c r="HP3" s="426"/>
      <c r="HQ3" s="426"/>
      <c r="HR3" s="426"/>
      <c r="HS3" s="426"/>
      <c r="HT3" s="426"/>
      <c r="HU3" s="426"/>
      <c r="HV3" s="426"/>
      <c r="HW3" s="426"/>
      <c r="HX3" s="426"/>
      <c r="HY3" s="426"/>
      <c r="HZ3" s="426"/>
      <c r="IA3" s="426"/>
      <c r="IB3" s="426"/>
      <c r="IC3" s="426"/>
      <c r="ID3" s="426"/>
      <c r="IE3" s="426"/>
      <c r="IF3" s="426"/>
      <c r="IG3" s="426"/>
      <c r="IH3" s="426"/>
      <c r="II3" s="426"/>
      <c r="IJ3" s="426"/>
      <c r="IK3" s="426"/>
      <c r="IL3" s="426"/>
      <c r="IM3" s="426"/>
      <c r="IN3" s="426"/>
      <c r="IO3" s="426"/>
      <c r="IP3" s="426"/>
      <c r="IQ3" s="426"/>
      <c r="IR3" s="438"/>
      <c r="IS3" s="438"/>
      <c r="IT3" s="438"/>
      <c r="IU3" s="438"/>
      <c r="IV3" s="438"/>
    </row>
    <row r="4" s="417" customFormat="1" ht="24.95" customHeight="1" spans="1:256">
      <c r="A4" s="427" t="s">
        <v>1113</v>
      </c>
      <c r="B4" s="428"/>
      <c r="C4" s="429">
        <f t="shared" ref="C4:C7" si="0">B4*D4/100+B4</f>
        <v>0</v>
      </c>
      <c r="D4" s="430"/>
      <c r="E4" s="431"/>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24"/>
      <c r="AO4" s="424"/>
      <c r="AP4" s="424"/>
      <c r="AQ4" s="424"/>
      <c r="AR4" s="424"/>
      <c r="AS4" s="424"/>
      <c r="AT4" s="424"/>
      <c r="AU4" s="424"/>
      <c r="AV4" s="424"/>
      <c r="AW4" s="424"/>
      <c r="AX4" s="424"/>
      <c r="AY4" s="424"/>
      <c r="AZ4" s="424"/>
      <c r="BA4" s="424"/>
      <c r="BB4" s="424"/>
      <c r="BC4" s="424"/>
      <c r="BD4" s="424"/>
      <c r="BE4" s="424"/>
      <c r="BF4" s="424"/>
      <c r="BG4" s="424"/>
      <c r="BH4" s="424"/>
      <c r="BI4" s="424"/>
      <c r="BJ4" s="424"/>
      <c r="BK4" s="424"/>
      <c r="BL4" s="424"/>
      <c r="BM4" s="424"/>
      <c r="BN4" s="424"/>
      <c r="BO4" s="424"/>
      <c r="BP4" s="424"/>
      <c r="BQ4" s="424"/>
      <c r="BR4" s="424"/>
      <c r="BS4" s="424"/>
      <c r="BT4" s="424"/>
      <c r="BU4" s="424"/>
      <c r="BV4" s="424"/>
      <c r="BW4" s="424"/>
      <c r="BX4" s="424"/>
      <c r="BY4" s="424"/>
      <c r="BZ4" s="424"/>
      <c r="CA4" s="424"/>
      <c r="CB4" s="424"/>
      <c r="CC4" s="424"/>
      <c r="CD4" s="424"/>
      <c r="CE4" s="424"/>
      <c r="CF4" s="424"/>
      <c r="CG4" s="424"/>
      <c r="CH4" s="424"/>
      <c r="CI4" s="424"/>
      <c r="CJ4" s="424"/>
      <c r="CK4" s="424"/>
      <c r="CL4" s="424"/>
      <c r="CM4" s="424"/>
      <c r="CN4" s="424"/>
      <c r="CO4" s="424"/>
      <c r="CP4" s="424"/>
      <c r="CQ4" s="424"/>
      <c r="CR4" s="424"/>
      <c r="CS4" s="424"/>
      <c r="CT4" s="424"/>
      <c r="CU4" s="424"/>
      <c r="CV4" s="424"/>
      <c r="CW4" s="424"/>
      <c r="CX4" s="424"/>
      <c r="CY4" s="424"/>
      <c r="CZ4" s="424"/>
      <c r="DA4" s="424"/>
      <c r="DB4" s="424"/>
      <c r="DC4" s="424"/>
      <c r="DD4" s="424"/>
      <c r="DE4" s="424"/>
      <c r="DF4" s="424"/>
      <c r="DG4" s="424"/>
      <c r="DH4" s="424"/>
      <c r="DI4" s="424"/>
      <c r="DJ4" s="424"/>
      <c r="DK4" s="424"/>
      <c r="DL4" s="424"/>
      <c r="DM4" s="424"/>
      <c r="DN4" s="424"/>
      <c r="DO4" s="424"/>
      <c r="DP4" s="424"/>
      <c r="DQ4" s="424"/>
      <c r="DR4" s="424"/>
      <c r="DS4" s="424"/>
      <c r="DT4" s="424"/>
      <c r="DU4" s="424"/>
      <c r="DV4" s="424"/>
      <c r="DW4" s="424"/>
      <c r="DX4" s="424"/>
      <c r="DY4" s="424"/>
      <c r="DZ4" s="424"/>
      <c r="EA4" s="424"/>
      <c r="EB4" s="424"/>
      <c r="EC4" s="424"/>
      <c r="ED4" s="424"/>
      <c r="EE4" s="424"/>
      <c r="EF4" s="424"/>
      <c r="EG4" s="424"/>
      <c r="EH4" s="424"/>
      <c r="EI4" s="424"/>
      <c r="EJ4" s="424"/>
      <c r="EK4" s="424"/>
      <c r="EL4" s="424"/>
      <c r="EM4" s="424"/>
      <c r="EN4" s="424"/>
      <c r="EO4" s="424"/>
      <c r="EP4" s="424"/>
      <c r="EQ4" s="424"/>
      <c r="ER4" s="424"/>
      <c r="ES4" s="424"/>
      <c r="ET4" s="424"/>
      <c r="EU4" s="424"/>
      <c r="EV4" s="424"/>
      <c r="EW4" s="424"/>
      <c r="EX4" s="424"/>
      <c r="EY4" s="424"/>
      <c r="EZ4" s="424"/>
      <c r="FA4" s="424"/>
      <c r="FB4" s="424"/>
      <c r="FC4" s="424"/>
      <c r="FD4" s="424"/>
      <c r="FE4" s="424"/>
      <c r="FF4" s="424"/>
      <c r="FG4" s="424"/>
      <c r="FH4" s="424"/>
      <c r="FI4" s="424"/>
      <c r="FJ4" s="424"/>
      <c r="FK4" s="424"/>
      <c r="FL4" s="424"/>
      <c r="FM4" s="424"/>
      <c r="FN4" s="424"/>
      <c r="FO4" s="424"/>
      <c r="FP4" s="424"/>
      <c r="FQ4" s="424"/>
      <c r="FR4" s="424"/>
      <c r="FS4" s="424"/>
      <c r="FT4" s="424"/>
      <c r="FU4" s="424"/>
      <c r="FV4" s="424"/>
      <c r="FW4" s="424"/>
      <c r="FX4" s="424"/>
      <c r="FY4" s="424"/>
      <c r="FZ4" s="424"/>
      <c r="GA4" s="424"/>
      <c r="GB4" s="424"/>
      <c r="GC4" s="424"/>
      <c r="GD4" s="424"/>
      <c r="GE4" s="424"/>
      <c r="GF4" s="424"/>
      <c r="GG4" s="424"/>
      <c r="GH4" s="424"/>
      <c r="GI4" s="424"/>
      <c r="GJ4" s="424"/>
      <c r="GK4" s="424"/>
      <c r="GL4" s="424"/>
      <c r="GM4" s="424"/>
      <c r="GN4" s="424"/>
      <c r="GO4" s="424"/>
      <c r="GP4" s="424"/>
      <c r="GQ4" s="424"/>
      <c r="GR4" s="424"/>
      <c r="GS4" s="424"/>
      <c r="GT4" s="424"/>
      <c r="GU4" s="424"/>
      <c r="GV4" s="424"/>
      <c r="GW4" s="424"/>
      <c r="GX4" s="424"/>
      <c r="GY4" s="424"/>
      <c r="GZ4" s="424"/>
      <c r="HA4" s="424"/>
      <c r="HB4" s="424"/>
      <c r="HC4" s="424"/>
      <c r="HD4" s="424"/>
      <c r="HE4" s="424"/>
      <c r="HF4" s="424"/>
      <c r="HG4" s="424"/>
      <c r="HH4" s="424"/>
      <c r="HI4" s="424"/>
      <c r="HJ4" s="424"/>
      <c r="HK4" s="424"/>
      <c r="HL4" s="424"/>
      <c r="HM4" s="424"/>
      <c r="HN4" s="424"/>
      <c r="HO4" s="424"/>
      <c r="HP4" s="424"/>
      <c r="HQ4" s="424"/>
      <c r="HR4" s="424"/>
      <c r="HS4" s="424"/>
      <c r="HT4" s="424"/>
      <c r="HU4" s="424"/>
      <c r="HV4" s="424"/>
      <c r="HW4" s="424"/>
      <c r="HX4" s="424"/>
      <c r="HY4" s="424"/>
      <c r="HZ4" s="424"/>
      <c r="IA4" s="424"/>
      <c r="IB4" s="424"/>
      <c r="IC4" s="424"/>
      <c r="ID4" s="424"/>
      <c r="IE4" s="424"/>
      <c r="IF4" s="424"/>
      <c r="IG4" s="424"/>
      <c r="IH4" s="424"/>
      <c r="II4" s="424"/>
      <c r="IJ4" s="424"/>
      <c r="IK4" s="424"/>
      <c r="IL4" s="424"/>
      <c r="IM4" s="424"/>
      <c r="IN4" s="424"/>
      <c r="IO4" s="424"/>
      <c r="IP4" s="424"/>
      <c r="IQ4" s="424"/>
      <c r="IR4" s="439"/>
      <c r="IS4" s="439"/>
      <c r="IT4" s="439"/>
      <c r="IU4" s="439"/>
      <c r="IV4" s="439"/>
    </row>
    <row r="5" s="417" customFormat="1" ht="24.95" customHeight="1" spans="1:256">
      <c r="A5" s="427" t="s">
        <v>1114</v>
      </c>
      <c r="B5" s="432"/>
      <c r="C5" s="433">
        <f t="shared" si="0"/>
        <v>0</v>
      </c>
      <c r="D5" s="430"/>
      <c r="E5" s="431"/>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c r="AW5" s="424"/>
      <c r="AX5" s="424"/>
      <c r="AY5" s="424"/>
      <c r="AZ5" s="424"/>
      <c r="BA5" s="424"/>
      <c r="BB5" s="424"/>
      <c r="BC5" s="424"/>
      <c r="BD5" s="424"/>
      <c r="BE5" s="424"/>
      <c r="BF5" s="424"/>
      <c r="BG5" s="424"/>
      <c r="BH5" s="424"/>
      <c r="BI5" s="424"/>
      <c r="BJ5" s="424"/>
      <c r="BK5" s="424"/>
      <c r="BL5" s="424"/>
      <c r="BM5" s="424"/>
      <c r="BN5" s="424"/>
      <c r="BO5" s="424"/>
      <c r="BP5" s="424"/>
      <c r="BQ5" s="424"/>
      <c r="BR5" s="424"/>
      <c r="BS5" s="424"/>
      <c r="BT5" s="424"/>
      <c r="BU5" s="424"/>
      <c r="BV5" s="424"/>
      <c r="BW5" s="424"/>
      <c r="BX5" s="424"/>
      <c r="BY5" s="424"/>
      <c r="BZ5" s="424"/>
      <c r="CA5" s="424"/>
      <c r="CB5" s="424"/>
      <c r="CC5" s="424"/>
      <c r="CD5" s="424"/>
      <c r="CE5" s="424"/>
      <c r="CF5" s="424"/>
      <c r="CG5" s="424"/>
      <c r="CH5" s="424"/>
      <c r="CI5" s="424"/>
      <c r="CJ5" s="424"/>
      <c r="CK5" s="424"/>
      <c r="CL5" s="424"/>
      <c r="CM5" s="424"/>
      <c r="CN5" s="424"/>
      <c r="CO5" s="424"/>
      <c r="CP5" s="424"/>
      <c r="CQ5" s="424"/>
      <c r="CR5" s="424"/>
      <c r="CS5" s="424"/>
      <c r="CT5" s="424"/>
      <c r="CU5" s="424"/>
      <c r="CV5" s="424"/>
      <c r="CW5" s="424"/>
      <c r="CX5" s="424"/>
      <c r="CY5" s="424"/>
      <c r="CZ5" s="424"/>
      <c r="DA5" s="424"/>
      <c r="DB5" s="424"/>
      <c r="DC5" s="424"/>
      <c r="DD5" s="424"/>
      <c r="DE5" s="424"/>
      <c r="DF5" s="424"/>
      <c r="DG5" s="424"/>
      <c r="DH5" s="424"/>
      <c r="DI5" s="424"/>
      <c r="DJ5" s="424"/>
      <c r="DK5" s="424"/>
      <c r="DL5" s="424"/>
      <c r="DM5" s="424"/>
      <c r="DN5" s="424"/>
      <c r="DO5" s="424"/>
      <c r="DP5" s="424"/>
      <c r="DQ5" s="424"/>
      <c r="DR5" s="424"/>
      <c r="DS5" s="424"/>
      <c r="DT5" s="424"/>
      <c r="DU5" s="424"/>
      <c r="DV5" s="424"/>
      <c r="DW5" s="424"/>
      <c r="DX5" s="424"/>
      <c r="DY5" s="424"/>
      <c r="DZ5" s="424"/>
      <c r="EA5" s="424"/>
      <c r="EB5" s="424"/>
      <c r="EC5" s="424"/>
      <c r="ED5" s="424"/>
      <c r="EE5" s="424"/>
      <c r="EF5" s="424"/>
      <c r="EG5" s="424"/>
      <c r="EH5" s="424"/>
      <c r="EI5" s="424"/>
      <c r="EJ5" s="424"/>
      <c r="EK5" s="424"/>
      <c r="EL5" s="424"/>
      <c r="EM5" s="424"/>
      <c r="EN5" s="424"/>
      <c r="EO5" s="424"/>
      <c r="EP5" s="424"/>
      <c r="EQ5" s="424"/>
      <c r="ER5" s="424"/>
      <c r="ES5" s="424"/>
      <c r="ET5" s="424"/>
      <c r="EU5" s="424"/>
      <c r="EV5" s="424"/>
      <c r="EW5" s="424"/>
      <c r="EX5" s="424"/>
      <c r="EY5" s="424"/>
      <c r="EZ5" s="424"/>
      <c r="FA5" s="424"/>
      <c r="FB5" s="424"/>
      <c r="FC5" s="424"/>
      <c r="FD5" s="424"/>
      <c r="FE5" s="424"/>
      <c r="FF5" s="424"/>
      <c r="FG5" s="424"/>
      <c r="FH5" s="424"/>
      <c r="FI5" s="424"/>
      <c r="FJ5" s="424"/>
      <c r="FK5" s="424"/>
      <c r="FL5" s="424"/>
      <c r="FM5" s="424"/>
      <c r="FN5" s="424"/>
      <c r="FO5" s="424"/>
      <c r="FP5" s="424"/>
      <c r="FQ5" s="424"/>
      <c r="FR5" s="424"/>
      <c r="FS5" s="424"/>
      <c r="FT5" s="424"/>
      <c r="FU5" s="424"/>
      <c r="FV5" s="424"/>
      <c r="FW5" s="424"/>
      <c r="FX5" s="424"/>
      <c r="FY5" s="424"/>
      <c r="FZ5" s="424"/>
      <c r="GA5" s="424"/>
      <c r="GB5" s="424"/>
      <c r="GC5" s="424"/>
      <c r="GD5" s="424"/>
      <c r="GE5" s="424"/>
      <c r="GF5" s="424"/>
      <c r="GG5" s="424"/>
      <c r="GH5" s="424"/>
      <c r="GI5" s="424"/>
      <c r="GJ5" s="424"/>
      <c r="GK5" s="424"/>
      <c r="GL5" s="424"/>
      <c r="GM5" s="424"/>
      <c r="GN5" s="424"/>
      <c r="GO5" s="424"/>
      <c r="GP5" s="424"/>
      <c r="GQ5" s="424"/>
      <c r="GR5" s="424"/>
      <c r="GS5" s="424"/>
      <c r="GT5" s="424"/>
      <c r="GU5" s="424"/>
      <c r="GV5" s="424"/>
      <c r="GW5" s="424"/>
      <c r="GX5" s="424"/>
      <c r="GY5" s="424"/>
      <c r="GZ5" s="424"/>
      <c r="HA5" s="424"/>
      <c r="HB5" s="424"/>
      <c r="HC5" s="424"/>
      <c r="HD5" s="424"/>
      <c r="HE5" s="424"/>
      <c r="HF5" s="424"/>
      <c r="HG5" s="424"/>
      <c r="HH5" s="424"/>
      <c r="HI5" s="424"/>
      <c r="HJ5" s="424"/>
      <c r="HK5" s="424"/>
      <c r="HL5" s="424"/>
      <c r="HM5" s="424"/>
      <c r="HN5" s="424"/>
      <c r="HO5" s="424"/>
      <c r="HP5" s="424"/>
      <c r="HQ5" s="424"/>
      <c r="HR5" s="424"/>
      <c r="HS5" s="424"/>
      <c r="HT5" s="424"/>
      <c r="HU5" s="424"/>
      <c r="HV5" s="424"/>
      <c r="HW5" s="424"/>
      <c r="HX5" s="424"/>
      <c r="HY5" s="424"/>
      <c r="HZ5" s="424"/>
      <c r="IA5" s="424"/>
      <c r="IB5" s="424"/>
      <c r="IC5" s="424"/>
      <c r="ID5" s="424"/>
      <c r="IE5" s="424"/>
      <c r="IF5" s="424"/>
      <c r="IG5" s="424"/>
      <c r="IH5" s="424"/>
      <c r="II5" s="424"/>
      <c r="IJ5" s="424"/>
      <c r="IK5" s="424"/>
      <c r="IL5" s="424"/>
      <c r="IM5" s="424"/>
      <c r="IN5" s="424"/>
      <c r="IO5" s="424"/>
      <c r="IP5" s="424"/>
      <c r="IQ5" s="424"/>
      <c r="IR5" s="439"/>
      <c r="IS5" s="439"/>
      <c r="IT5" s="439"/>
      <c r="IU5" s="439"/>
      <c r="IV5" s="439"/>
    </row>
    <row r="6" s="417" customFormat="1" ht="24.95" customHeight="1" spans="1:256">
      <c r="A6" s="427" t="s">
        <v>1115</v>
      </c>
      <c r="B6" s="432"/>
      <c r="C6" s="433">
        <f t="shared" si="0"/>
        <v>0</v>
      </c>
      <c r="D6" s="430"/>
      <c r="E6" s="431"/>
      <c r="F6" s="424"/>
      <c r="G6" s="424"/>
      <c r="H6" s="424"/>
      <c r="I6" s="424"/>
      <c r="J6" s="424"/>
      <c r="K6" s="424"/>
      <c r="L6" s="424"/>
      <c r="M6" s="424"/>
      <c r="N6" s="424"/>
      <c r="O6" s="424"/>
      <c r="P6" s="424"/>
      <c r="Q6" s="424"/>
      <c r="R6" s="424"/>
      <c r="S6" s="424"/>
      <c r="T6" s="424"/>
      <c r="U6" s="424"/>
      <c r="V6" s="424"/>
      <c r="W6" s="424"/>
      <c r="X6" s="424"/>
      <c r="Y6" s="424"/>
      <c r="Z6" s="424"/>
      <c r="AA6" s="424"/>
      <c r="AB6" s="424"/>
      <c r="AC6" s="424"/>
      <c r="AD6" s="424"/>
      <c r="AE6" s="424"/>
      <c r="AF6" s="424"/>
      <c r="AG6" s="424"/>
      <c r="AH6" s="424"/>
      <c r="AI6" s="424"/>
      <c r="AJ6" s="424"/>
      <c r="AK6" s="424"/>
      <c r="AL6" s="424"/>
      <c r="AM6" s="424"/>
      <c r="AN6" s="424"/>
      <c r="AO6" s="424"/>
      <c r="AP6" s="424"/>
      <c r="AQ6" s="424"/>
      <c r="AR6" s="424"/>
      <c r="AS6" s="424"/>
      <c r="AT6" s="424"/>
      <c r="AU6" s="424"/>
      <c r="AV6" s="424"/>
      <c r="AW6" s="424"/>
      <c r="AX6" s="424"/>
      <c r="AY6" s="424"/>
      <c r="AZ6" s="424"/>
      <c r="BA6" s="424"/>
      <c r="BB6" s="424"/>
      <c r="BC6" s="424"/>
      <c r="BD6" s="424"/>
      <c r="BE6" s="424"/>
      <c r="BF6" s="424"/>
      <c r="BG6" s="424"/>
      <c r="BH6" s="424"/>
      <c r="BI6" s="424"/>
      <c r="BJ6" s="424"/>
      <c r="BK6" s="424"/>
      <c r="BL6" s="424"/>
      <c r="BM6" s="424"/>
      <c r="BN6" s="424"/>
      <c r="BO6" s="424"/>
      <c r="BP6" s="424"/>
      <c r="BQ6" s="424"/>
      <c r="BR6" s="424"/>
      <c r="BS6" s="424"/>
      <c r="BT6" s="424"/>
      <c r="BU6" s="424"/>
      <c r="BV6" s="424"/>
      <c r="BW6" s="424"/>
      <c r="BX6" s="424"/>
      <c r="BY6" s="424"/>
      <c r="BZ6" s="424"/>
      <c r="CA6" s="424"/>
      <c r="CB6" s="424"/>
      <c r="CC6" s="424"/>
      <c r="CD6" s="424"/>
      <c r="CE6" s="424"/>
      <c r="CF6" s="424"/>
      <c r="CG6" s="424"/>
      <c r="CH6" s="424"/>
      <c r="CI6" s="424"/>
      <c r="CJ6" s="424"/>
      <c r="CK6" s="424"/>
      <c r="CL6" s="424"/>
      <c r="CM6" s="424"/>
      <c r="CN6" s="424"/>
      <c r="CO6" s="424"/>
      <c r="CP6" s="424"/>
      <c r="CQ6" s="424"/>
      <c r="CR6" s="424"/>
      <c r="CS6" s="424"/>
      <c r="CT6" s="424"/>
      <c r="CU6" s="424"/>
      <c r="CV6" s="424"/>
      <c r="CW6" s="424"/>
      <c r="CX6" s="424"/>
      <c r="CY6" s="424"/>
      <c r="CZ6" s="424"/>
      <c r="DA6" s="424"/>
      <c r="DB6" s="424"/>
      <c r="DC6" s="424"/>
      <c r="DD6" s="424"/>
      <c r="DE6" s="424"/>
      <c r="DF6" s="424"/>
      <c r="DG6" s="424"/>
      <c r="DH6" s="424"/>
      <c r="DI6" s="424"/>
      <c r="DJ6" s="424"/>
      <c r="DK6" s="424"/>
      <c r="DL6" s="424"/>
      <c r="DM6" s="424"/>
      <c r="DN6" s="424"/>
      <c r="DO6" s="424"/>
      <c r="DP6" s="424"/>
      <c r="DQ6" s="424"/>
      <c r="DR6" s="424"/>
      <c r="DS6" s="424"/>
      <c r="DT6" s="424"/>
      <c r="DU6" s="424"/>
      <c r="DV6" s="424"/>
      <c r="DW6" s="424"/>
      <c r="DX6" s="424"/>
      <c r="DY6" s="424"/>
      <c r="DZ6" s="424"/>
      <c r="EA6" s="424"/>
      <c r="EB6" s="424"/>
      <c r="EC6" s="424"/>
      <c r="ED6" s="424"/>
      <c r="EE6" s="424"/>
      <c r="EF6" s="424"/>
      <c r="EG6" s="424"/>
      <c r="EH6" s="424"/>
      <c r="EI6" s="424"/>
      <c r="EJ6" s="424"/>
      <c r="EK6" s="424"/>
      <c r="EL6" s="424"/>
      <c r="EM6" s="424"/>
      <c r="EN6" s="424"/>
      <c r="EO6" s="424"/>
      <c r="EP6" s="424"/>
      <c r="EQ6" s="424"/>
      <c r="ER6" s="424"/>
      <c r="ES6" s="424"/>
      <c r="ET6" s="424"/>
      <c r="EU6" s="424"/>
      <c r="EV6" s="424"/>
      <c r="EW6" s="424"/>
      <c r="EX6" s="424"/>
      <c r="EY6" s="424"/>
      <c r="EZ6" s="424"/>
      <c r="FA6" s="424"/>
      <c r="FB6" s="424"/>
      <c r="FC6" s="424"/>
      <c r="FD6" s="424"/>
      <c r="FE6" s="424"/>
      <c r="FF6" s="424"/>
      <c r="FG6" s="424"/>
      <c r="FH6" s="424"/>
      <c r="FI6" s="424"/>
      <c r="FJ6" s="424"/>
      <c r="FK6" s="424"/>
      <c r="FL6" s="424"/>
      <c r="FM6" s="424"/>
      <c r="FN6" s="424"/>
      <c r="FO6" s="424"/>
      <c r="FP6" s="424"/>
      <c r="FQ6" s="424"/>
      <c r="FR6" s="424"/>
      <c r="FS6" s="424"/>
      <c r="FT6" s="424"/>
      <c r="FU6" s="424"/>
      <c r="FV6" s="424"/>
      <c r="FW6" s="424"/>
      <c r="FX6" s="424"/>
      <c r="FY6" s="424"/>
      <c r="FZ6" s="424"/>
      <c r="GA6" s="424"/>
      <c r="GB6" s="424"/>
      <c r="GC6" s="424"/>
      <c r="GD6" s="424"/>
      <c r="GE6" s="424"/>
      <c r="GF6" s="424"/>
      <c r="GG6" s="424"/>
      <c r="GH6" s="424"/>
      <c r="GI6" s="424"/>
      <c r="GJ6" s="424"/>
      <c r="GK6" s="424"/>
      <c r="GL6" s="424"/>
      <c r="GM6" s="424"/>
      <c r="GN6" s="424"/>
      <c r="GO6" s="424"/>
      <c r="GP6" s="424"/>
      <c r="GQ6" s="424"/>
      <c r="GR6" s="424"/>
      <c r="GS6" s="424"/>
      <c r="GT6" s="424"/>
      <c r="GU6" s="424"/>
      <c r="GV6" s="424"/>
      <c r="GW6" s="424"/>
      <c r="GX6" s="424"/>
      <c r="GY6" s="424"/>
      <c r="GZ6" s="424"/>
      <c r="HA6" s="424"/>
      <c r="HB6" s="424"/>
      <c r="HC6" s="424"/>
      <c r="HD6" s="424"/>
      <c r="HE6" s="424"/>
      <c r="HF6" s="424"/>
      <c r="HG6" s="424"/>
      <c r="HH6" s="424"/>
      <c r="HI6" s="424"/>
      <c r="HJ6" s="424"/>
      <c r="HK6" s="424"/>
      <c r="HL6" s="424"/>
      <c r="HM6" s="424"/>
      <c r="HN6" s="424"/>
      <c r="HO6" s="424"/>
      <c r="HP6" s="424"/>
      <c r="HQ6" s="424"/>
      <c r="HR6" s="424"/>
      <c r="HS6" s="424"/>
      <c r="HT6" s="424"/>
      <c r="HU6" s="424"/>
      <c r="HV6" s="424"/>
      <c r="HW6" s="424"/>
      <c r="HX6" s="424"/>
      <c r="HY6" s="424"/>
      <c r="HZ6" s="424"/>
      <c r="IA6" s="424"/>
      <c r="IB6" s="424"/>
      <c r="IC6" s="424"/>
      <c r="ID6" s="424"/>
      <c r="IE6" s="424"/>
      <c r="IF6" s="424"/>
      <c r="IG6" s="424"/>
      <c r="IH6" s="424"/>
      <c r="II6" s="424"/>
      <c r="IJ6" s="424"/>
      <c r="IK6" s="424"/>
      <c r="IL6" s="424"/>
      <c r="IM6" s="424"/>
      <c r="IN6" s="424"/>
      <c r="IO6" s="424"/>
      <c r="IP6" s="424"/>
      <c r="IQ6" s="424"/>
      <c r="IR6" s="439"/>
      <c r="IS6" s="439"/>
      <c r="IT6" s="439"/>
      <c r="IU6" s="439"/>
      <c r="IV6" s="439"/>
    </row>
    <row r="7" s="417" customFormat="1" ht="24.95" customHeight="1" spans="1:256">
      <c r="A7" s="427" t="s">
        <v>1116</v>
      </c>
      <c r="B7" s="434"/>
      <c r="C7" s="433">
        <f t="shared" si="0"/>
        <v>0</v>
      </c>
      <c r="D7" s="430"/>
      <c r="E7" s="431"/>
      <c r="F7" s="424"/>
      <c r="G7" s="424"/>
      <c r="H7" s="424"/>
      <c r="I7" s="424"/>
      <c r="J7" s="424"/>
      <c r="K7" s="424"/>
      <c r="L7" s="424"/>
      <c r="M7" s="424"/>
      <c r="N7" s="424"/>
      <c r="O7" s="424"/>
      <c r="P7" s="424"/>
      <c r="Q7" s="424"/>
      <c r="R7" s="424"/>
      <c r="S7" s="424"/>
      <c r="T7" s="424"/>
      <c r="U7" s="424"/>
      <c r="V7" s="424"/>
      <c r="W7" s="424"/>
      <c r="X7" s="424"/>
      <c r="Y7" s="424"/>
      <c r="Z7" s="424"/>
      <c r="AA7" s="424"/>
      <c r="AB7" s="424"/>
      <c r="AC7" s="424"/>
      <c r="AD7" s="424"/>
      <c r="AE7" s="424"/>
      <c r="AF7" s="424"/>
      <c r="AG7" s="424"/>
      <c r="AH7" s="424"/>
      <c r="AI7" s="424"/>
      <c r="AJ7" s="424"/>
      <c r="AK7" s="424"/>
      <c r="AL7" s="424"/>
      <c r="AM7" s="424"/>
      <c r="AN7" s="424"/>
      <c r="AO7" s="424"/>
      <c r="AP7" s="424"/>
      <c r="AQ7" s="424"/>
      <c r="AR7" s="424"/>
      <c r="AS7" s="424"/>
      <c r="AT7" s="424"/>
      <c r="AU7" s="424"/>
      <c r="AV7" s="424"/>
      <c r="AW7" s="424"/>
      <c r="AX7" s="424"/>
      <c r="AY7" s="424"/>
      <c r="AZ7" s="424"/>
      <c r="BA7" s="424"/>
      <c r="BB7" s="424"/>
      <c r="BC7" s="424"/>
      <c r="BD7" s="424"/>
      <c r="BE7" s="424"/>
      <c r="BF7" s="424"/>
      <c r="BG7" s="424"/>
      <c r="BH7" s="424"/>
      <c r="BI7" s="424"/>
      <c r="BJ7" s="424"/>
      <c r="BK7" s="424"/>
      <c r="BL7" s="424"/>
      <c r="BM7" s="424"/>
      <c r="BN7" s="424"/>
      <c r="BO7" s="424"/>
      <c r="BP7" s="424"/>
      <c r="BQ7" s="424"/>
      <c r="BR7" s="424"/>
      <c r="BS7" s="424"/>
      <c r="BT7" s="424"/>
      <c r="BU7" s="424"/>
      <c r="BV7" s="424"/>
      <c r="BW7" s="424"/>
      <c r="BX7" s="424"/>
      <c r="BY7" s="424"/>
      <c r="BZ7" s="424"/>
      <c r="CA7" s="424"/>
      <c r="CB7" s="424"/>
      <c r="CC7" s="424"/>
      <c r="CD7" s="424"/>
      <c r="CE7" s="424"/>
      <c r="CF7" s="424"/>
      <c r="CG7" s="424"/>
      <c r="CH7" s="424"/>
      <c r="CI7" s="424"/>
      <c r="CJ7" s="424"/>
      <c r="CK7" s="424"/>
      <c r="CL7" s="424"/>
      <c r="CM7" s="424"/>
      <c r="CN7" s="424"/>
      <c r="CO7" s="424"/>
      <c r="CP7" s="424"/>
      <c r="CQ7" s="424"/>
      <c r="CR7" s="424"/>
      <c r="CS7" s="424"/>
      <c r="CT7" s="424"/>
      <c r="CU7" s="424"/>
      <c r="CV7" s="424"/>
      <c r="CW7" s="424"/>
      <c r="CX7" s="424"/>
      <c r="CY7" s="424"/>
      <c r="CZ7" s="424"/>
      <c r="DA7" s="424"/>
      <c r="DB7" s="424"/>
      <c r="DC7" s="424"/>
      <c r="DD7" s="424"/>
      <c r="DE7" s="424"/>
      <c r="DF7" s="424"/>
      <c r="DG7" s="424"/>
      <c r="DH7" s="424"/>
      <c r="DI7" s="424"/>
      <c r="DJ7" s="424"/>
      <c r="DK7" s="424"/>
      <c r="DL7" s="424"/>
      <c r="DM7" s="424"/>
      <c r="DN7" s="424"/>
      <c r="DO7" s="424"/>
      <c r="DP7" s="424"/>
      <c r="DQ7" s="424"/>
      <c r="DR7" s="424"/>
      <c r="DS7" s="424"/>
      <c r="DT7" s="424"/>
      <c r="DU7" s="424"/>
      <c r="DV7" s="424"/>
      <c r="DW7" s="424"/>
      <c r="DX7" s="424"/>
      <c r="DY7" s="424"/>
      <c r="DZ7" s="424"/>
      <c r="EA7" s="424"/>
      <c r="EB7" s="424"/>
      <c r="EC7" s="424"/>
      <c r="ED7" s="424"/>
      <c r="EE7" s="424"/>
      <c r="EF7" s="424"/>
      <c r="EG7" s="424"/>
      <c r="EH7" s="424"/>
      <c r="EI7" s="424"/>
      <c r="EJ7" s="424"/>
      <c r="EK7" s="424"/>
      <c r="EL7" s="424"/>
      <c r="EM7" s="424"/>
      <c r="EN7" s="424"/>
      <c r="EO7" s="424"/>
      <c r="EP7" s="424"/>
      <c r="EQ7" s="424"/>
      <c r="ER7" s="424"/>
      <c r="ES7" s="424"/>
      <c r="ET7" s="424"/>
      <c r="EU7" s="424"/>
      <c r="EV7" s="424"/>
      <c r="EW7" s="424"/>
      <c r="EX7" s="424"/>
      <c r="EY7" s="424"/>
      <c r="EZ7" s="424"/>
      <c r="FA7" s="424"/>
      <c r="FB7" s="424"/>
      <c r="FC7" s="424"/>
      <c r="FD7" s="424"/>
      <c r="FE7" s="424"/>
      <c r="FF7" s="424"/>
      <c r="FG7" s="424"/>
      <c r="FH7" s="424"/>
      <c r="FI7" s="424"/>
      <c r="FJ7" s="424"/>
      <c r="FK7" s="424"/>
      <c r="FL7" s="424"/>
      <c r="FM7" s="424"/>
      <c r="FN7" s="424"/>
      <c r="FO7" s="424"/>
      <c r="FP7" s="424"/>
      <c r="FQ7" s="424"/>
      <c r="FR7" s="424"/>
      <c r="FS7" s="424"/>
      <c r="FT7" s="424"/>
      <c r="FU7" s="424"/>
      <c r="FV7" s="424"/>
      <c r="FW7" s="424"/>
      <c r="FX7" s="424"/>
      <c r="FY7" s="424"/>
      <c r="FZ7" s="424"/>
      <c r="GA7" s="424"/>
      <c r="GB7" s="424"/>
      <c r="GC7" s="424"/>
      <c r="GD7" s="424"/>
      <c r="GE7" s="424"/>
      <c r="GF7" s="424"/>
      <c r="GG7" s="424"/>
      <c r="GH7" s="424"/>
      <c r="GI7" s="424"/>
      <c r="GJ7" s="424"/>
      <c r="GK7" s="424"/>
      <c r="GL7" s="424"/>
      <c r="GM7" s="424"/>
      <c r="GN7" s="424"/>
      <c r="GO7" s="424"/>
      <c r="GP7" s="424"/>
      <c r="GQ7" s="424"/>
      <c r="GR7" s="424"/>
      <c r="GS7" s="424"/>
      <c r="GT7" s="424"/>
      <c r="GU7" s="424"/>
      <c r="GV7" s="424"/>
      <c r="GW7" s="424"/>
      <c r="GX7" s="424"/>
      <c r="GY7" s="424"/>
      <c r="GZ7" s="424"/>
      <c r="HA7" s="424"/>
      <c r="HB7" s="424"/>
      <c r="HC7" s="424"/>
      <c r="HD7" s="424"/>
      <c r="HE7" s="424"/>
      <c r="HF7" s="424"/>
      <c r="HG7" s="424"/>
      <c r="HH7" s="424"/>
      <c r="HI7" s="424"/>
      <c r="HJ7" s="424"/>
      <c r="HK7" s="424"/>
      <c r="HL7" s="424"/>
      <c r="HM7" s="424"/>
      <c r="HN7" s="424"/>
      <c r="HO7" s="424"/>
      <c r="HP7" s="424"/>
      <c r="HQ7" s="424"/>
      <c r="HR7" s="424"/>
      <c r="HS7" s="424"/>
      <c r="HT7" s="424"/>
      <c r="HU7" s="424"/>
      <c r="HV7" s="424"/>
      <c r="HW7" s="424"/>
      <c r="HX7" s="424"/>
      <c r="HY7" s="424"/>
      <c r="HZ7" s="424"/>
      <c r="IA7" s="424"/>
      <c r="IB7" s="424"/>
      <c r="IC7" s="424"/>
      <c r="ID7" s="424"/>
      <c r="IE7" s="424"/>
      <c r="IF7" s="424"/>
      <c r="IG7" s="424"/>
      <c r="IH7" s="424"/>
      <c r="II7" s="424"/>
      <c r="IJ7" s="424"/>
      <c r="IK7" s="424"/>
      <c r="IL7" s="424"/>
      <c r="IM7" s="424"/>
      <c r="IN7" s="424"/>
      <c r="IO7" s="424"/>
      <c r="IP7" s="424"/>
      <c r="IQ7" s="424"/>
      <c r="IR7" s="439"/>
      <c r="IS7" s="439"/>
      <c r="IT7" s="439"/>
      <c r="IU7" s="439"/>
      <c r="IV7" s="439"/>
    </row>
    <row r="8" s="417" customFormat="1" ht="24.95" customHeight="1" spans="1:256">
      <c r="A8" s="427" t="s">
        <v>1117</v>
      </c>
      <c r="B8" s="433">
        <f>B4*B5-B6*B4-B7</f>
        <v>0</v>
      </c>
      <c r="C8" s="433">
        <f>C4*C5-C6*C4-C7</f>
        <v>0</v>
      </c>
      <c r="D8" s="435" t="e">
        <f>(C8-B8)/B8</f>
        <v>#DIV/0!</v>
      </c>
      <c r="E8" s="431"/>
      <c r="F8" s="424"/>
      <c r="G8" s="424"/>
      <c r="H8" s="424"/>
      <c r="I8" s="424"/>
      <c r="J8" s="424"/>
      <c r="K8" s="424"/>
      <c r="L8" s="424"/>
      <c r="M8" s="424"/>
      <c r="N8" s="424"/>
      <c r="O8" s="424"/>
      <c r="P8" s="424"/>
      <c r="Q8" s="424"/>
      <c r="R8" s="424"/>
      <c r="S8" s="424"/>
      <c r="T8" s="424"/>
      <c r="U8" s="424"/>
      <c r="V8" s="424"/>
      <c r="W8" s="424"/>
      <c r="X8" s="424"/>
      <c r="Y8" s="424"/>
      <c r="Z8" s="424"/>
      <c r="AA8" s="424"/>
      <c r="AB8" s="424"/>
      <c r="AC8" s="424"/>
      <c r="AD8" s="424"/>
      <c r="AE8" s="424"/>
      <c r="AF8" s="424"/>
      <c r="AG8" s="424"/>
      <c r="AH8" s="424"/>
      <c r="AI8" s="424"/>
      <c r="AJ8" s="424"/>
      <c r="AK8" s="424"/>
      <c r="AL8" s="424"/>
      <c r="AM8" s="424"/>
      <c r="AN8" s="424"/>
      <c r="AO8" s="424"/>
      <c r="AP8" s="424"/>
      <c r="AQ8" s="424"/>
      <c r="AR8" s="424"/>
      <c r="AS8" s="424"/>
      <c r="AT8" s="424"/>
      <c r="AU8" s="424"/>
      <c r="AV8" s="424"/>
      <c r="AW8" s="424"/>
      <c r="AX8" s="424"/>
      <c r="AY8" s="424"/>
      <c r="AZ8" s="424"/>
      <c r="BA8" s="424"/>
      <c r="BB8" s="424"/>
      <c r="BC8" s="424"/>
      <c r="BD8" s="424"/>
      <c r="BE8" s="424"/>
      <c r="BF8" s="424"/>
      <c r="BG8" s="424"/>
      <c r="BH8" s="424"/>
      <c r="BI8" s="424"/>
      <c r="BJ8" s="424"/>
      <c r="BK8" s="424"/>
      <c r="BL8" s="424"/>
      <c r="BM8" s="424"/>
      <c r="BN8" s="424"/>
      <c r="BO8" s="424"/>
      <c r="BP8" s="424"/>
      <c r="BQ8" s="424"/>
      <c r="BR8" s="424"/>
      <c r="BS8" s="424"/>
      <c r="BT8" s="424"/>
      <c r="BU8" s="424"/>
      <c r="BV8" s="424"/>
      <c r="BW8" s="424"/>
      <c r="BX8" s="424"/>
      <c r="BY8" s="424"/>
      <c r="BZ8" s="424"/>
      <c r="CA8" s="424"/>
      <c r="CB8" s="424"/>
      <c r="CC8" s="424"/>
      <c r="CD8" s="424"/>
      <c r="CE8" s="424"/>
      <c r="CF8" s="424"/>
      <c r="CG8" s="424"/>
      <c r="CH8" s="424"/>
      <c r="CI8" s="424"/>
      <c r="CJ8" s="424"/>
      <c r="CK8" s="424"/>
      <c r="CL8" s="424"/>
      <c r="CM8" s="424"/>
      <c r="CN8" s="424"/>
      <c r="CO8" s="424"/>
      <c r="CP8" s="424"/>
      <c r="CQ8" s="424"/>
      <c r="CR8" s="424"/>
      <c r="CS8" s="424"/>
      <c r="CT8" s="424"/>
      <c r="CU8" s="424"/>
      <c r="CV8" s="424"/>
      <c r="CW8" s="424"/>
      <c r="CX8" s="424"/>
      <c r="CY8" s="424"/>
      <c r="CZ8" s="424"/>
      <c r="DA8" s="424"/>
      <c r="DB8" s="424"/>
      <c r="DC8" s="424"/>
      <c r="DD8" s="424"/>
      <c r="DE8" s="424"/>
      <c r="DF8" s="424"/>
      <c r="DG8" s="424"/>
      <c r="DH8" s="424"/>
      <c r="DI8" s="424"/>
      <c r="DJ8" s="424"/>
      <c r="DK8" s="424"/>
      <c r="DL8" s="424"/>
      <c r="DM8" s="424"/>
      <c r="DN8" s="424"/>
      <c r="DO8" s="424"/>
      <c r="DP8" s="424"/>
      <c r="DQ8" s="424"/>
      <c r="DR8" s="424"/>
      <c r="DS8" s="424"/>
      <c r="DT8" s="424"/>
      <c r="DU8" s="424"/>
      <c r="DV8" s="424"/>
      <c r="DW8" s="424"/>
      <c r="DX8" s="424"/>
      <c r="DY8" s="424"/>
      <c r="DZ8" s="424"/>
      <c r="EA8" s="424"/>
      <c r="EB8" s="424"/>
      <c r="EC8" s="424"/>
      <c r="ED8" s="424"/>
      <c r="EE8" s="424"/>
      <c r="EF8" s="424"/>
      <c r="EG8" s="424"/>
      <c r="EH8" s="424"/>
      <c r="EI8" s="424"/>
      <c r="EJ8" s="424"/>
      <c r="EK8" s="424"/>
      <c r="EL8" s="424"/>
      <c r="EM8" s="424"/>
      <c r="EN8" s="424"/>
      <c r="EO8" s="424"/>
      <c r="EP8" s="424"/>
      <c r="EQ8" s="424"/>
      <c r="ER8" s="424"/>
      <c r="ES8" s="424"/>
      <c r="ET8" s="424"/>
      <c r="EU8" s="424"/>
      <c r="EV8" s="424"/>
      <c r="EW8" s="424"/>
      <c r="EX8" s="424"/>
      <c r="EY8" s="424"/>
      <c r="EZ8" s="424"/>
      <c r="FA8" s="424"/>
      <c r="FB8" s="424"/>
      <c r="FC8" s="424"/>
      <c r="FD8" s="424"/>
      <c r="FE8" s="424"/>
      <c r="FF8" s="424"/>
      <c r="FG8" s="424"/>
      <c r="FH8" s="424"/>
      <c r="FI8" s="424"/>
      <c r="FJ8" s="424"/>
      <c r="FK8" s="424"/>
      <c r="FL8" s="424"/>
      <c r="FM8" s="424"/>
      <c r="FN8" s="424"/>
      <c r="FO8" s="424"/>
      <c r="FP8" s="424"/>
      <c r="FQ8" s="424"/>
      <c r="FR8" s="424"/>
      <c r="FS8" s="424"/>
      <c r="FT8" s="424"/>
      <c r="FU8" s="424"/>
      <c r="FV8" s="424"/>
      <c r="FW8" s="424"/>
      <c r="FX8" s="424"/>
      <c r="FY8" s="424"/>
      <c r="FZ8" s="424"/>
      <c r="GA8" s="424"/>
      <c r="GB8" s="424"/>
      <c r="GC8" s="424"/>
      <c r="GD8" s="424"/>
      <c r="GE8" s="424"/>
      <c r="GF8" s="424"/>
      <c r="GG8" s="424"/>
      <c r="GH8" s="424"/>
      <c r="GI8" s="424"/>
      <c r="GJ8" s="424"/>
      <c r="GK8" s="424"/>
      <c r="GL8" s="424"/>
      <c r="GM8" s="424"/>
      <c r="GN8" s="424"/>
      <c r="GO8" s="424"/>
      <c r="GP8" s="424"/>
      <c r="GQ8" s="424"/>
      <c r="GR8" s="424"/>
      <c r="GS8" s="424"/>
      <c r="GT8" s="424"/>
      <c r="GU8" s="424"/>
      <c r="GV8" s="424"/>
      <c r="GW8" s="424"/>
      <c r="GX8" s="424"/>
      <c r="GY8" s="424"/>
      <c r="GZ8" s="424"/>
      <c r="HA8" s="424"/>
      <c r="HB8" s="424"/>
      <c r="HC8" s="424"/>
      <c r="HD8" s="424"/>
      <c r="HE8" s="424"/>
      <c r="HF8" s="424"/>
      <c r="HG8" s="424"/>
      <c r="HH8" s="424"/>
      <c r="HI8" s="424"/>
      <c r="HJ8" s="424"/>
      <c r="HK8" s="424"/>
      <c r="HL8" s="424"/>
      <c r="HM8" s="424"/>
      <c r="HN8" s="424"/>
      <c r="HO8" s="424"/>
      <c r="HP8" s="424"/>
      <c r="HQ8" s="424"/>
      <c r="HR8" s="424"/>
      <c r="HS8" s="424"/>
      <c r="HT8" s="424"/>
      <c r="HU8" s="424"/>
      <c r="HV8" s="424"/>
      <c r="HW8" s="424"/>
      <c r="HX8" s="424"/>
      <c r="HY8" s="424"/>
      <c r="HZ8" s="424"/>
      <c r="IA8" s="424"/>
      <c r="IB8" s="424"/>
      <c r="IC8" s="424"/>
      <c r="ID8" s="424"/>
      <c r="IE8" s="424"/>
      <c r="IF8" s="424"/>
      <c r="IG8" s="424"/>
      <c r="IH8" s="424"/>
      <c r="II8" s="424"/>
      <c r="IJ8" s="424"/>
      <c r="IK8" s="424"/>
      <c r="IL8" s="424"/>
      <c r="IM8" s="424"/>
      <c r="IN8" s="424"/>
      <c r="IO8" s="424"/>
      <c r="IP8" s="424"/>
      <c r="IQ8" s="424"/>
      <c r="IR8" s="439"/>
      <c r="IS8" s="439"/>
      <c r="IT8" s="439"/>
      <c r="IU8" s="439"/>
      <c r="IV8" s="439"/>
    </row>
    <row r="9" s="417" customFormat="1" ht="24.95" customHeight="1" spans="1:256">
      <c r="A9" s="436"/>
      <c r="B9" s="436"/>
      <c r="C9" s="436"/>
      <c r="D9" s="436"/>
      <c r="E9" s="436"/>
      <c r="F9" s="424"/>
      <c r="G9" s="424"/>
      <c r="H9" s="424"/>
      <c r="I9" s="424"/>
      <c r="J9" s="424"/>
      <c r="K9" s="424"/>
      <c r="L9" s="424"/>
      <c r="M9" s="424"/>
      <c r="N9" s="424"/>
      <c r="O9" s="424"/>
      <c r="P9" s="424"/>
      <c r="Q9" s="424"/>
      <c r="R9" s="424"/>
      <c r="S9" s="424"/>
      <c r="T9" s="424"/>
      <c r="U9" s="424"/>
      <c r="V9" s="424"/>
      <c r="W9" s="424"/>
      <c r="X9" s="424"/>
      <c r="Y9" s="424"/>
      <c r="Z9" s="424"/>
      <c r="AA9" s="424"/>
      <c r="AB9" s="424"/>
      <c r="AC9" s="424"/>
      <c r="AD9" s="424"/>
      <c r="AE9" s="424"/>
      <c r="AF9" s="424"/>
      <c r="AG9" s="424"/>
      <c r="AH9" s="424"/>
      <c r="AI9" s="424"/>
      <c r="AJ9" s="424"/>
      <c r="AK9" s="424"/>
      <c r="AL9" s="424"/>
      <c r="AM9" s="424"/>
      <c r="AN9" s="424"/>
      <c r="AO9" s="424"/>
      <c r="AP9" s="424"/>
      <c r="AQ9" s="424"/>
      <c r="AR9" s="424"/>
      <c r="AS9" s="424"/>
      <c r="AT9" s="424"/>
      <c r="AU9" s="424"/>
      <c r="AV9" s="424"/>
      <c r="AW9" s="424"/>
      <c r="AX9" s="424"/>
      <c r="AY9" s="424"/>
      <c r="AZ9" s="424"/>
      <c r="BA9" s="424"/>
      <c r="BB9" s="424"/>
      <c r="BC9" s="424"/>
      <c r="BD9" s="424"/>
      <c r="BE9" s="424"/>
      <c r="BF9" s="424"/>
      <c r="BG9" s="424"/>
      <c r="BH9" s="424"/>
      <c r="BI9" s="424"/>
      <c r="BJ9" s="424"/>
      <c r="BK9" s="424"/>
      <c r="BL9" s="424"/>
      <c r="BM9" s="424"/>
      <c r="BN9" s="424"/>
      <c r="BO9" s="424"/>
      <c r="BP9" s="424"/>
      <c r="BQ9" s="424"/>
      <c r="BR9" s="424"/>
      <c r="BS9" s="424"/>
      <c r="BT9" s="424"/>
      <c r="BU9" s="424"/>
      <c r="BV9" s="424"/>
      <c r="BW9" s="424"/>
      <c r="BX9" s="424"/>
      <c r="BY9" s="424"/>
      <c r="BZ9" s="424"/>
      <c r="CA9" s="424"/>
      <c r="CB9" s="424"/>
      <c r="CC9" s="424"/>
      <c r="CD9" s="424"/>
      <c r="CE9" s="424"/>
      <c r="CF9" s="424"/>
      <c r="CG9" s="424"/>
      <c r="CH9" s="424"/>
      <c r="CI9" s="424"/>
      <c r="CJ9" s="424"/>
      <c r="CK9" s="424"/>
      <c r="CL9" s="424"/>
      <c r="CM9" s="424"/>
      <c r="CN9" s="424"/>
      <c r="CO9" s="424"/>
      <c r="CP9" s="424"/>
      <c r="CQ9" s="424"/>
      <c r="CR9" s="424"/>
      <c r="CS9" s="424"/>
      <c r="CT9" s="424"/>
      <c r="CU9" s="424"/>
      <c r="CV9" s="424"/>
      <c r="CW9" s="424"/>
      <c r="CX9" s="424"/>
      <c r="CY9" s="424"/>
      <c r="CZ9" s="424"/>
      <c r="DA9" s="424"/>
      <c r="DB9" s="424"/>
      <c r="DC9" s="424"/>
      <c r="DD9" s="424"/>
      <c r="DE9" s="424"/>
      <c r="DF9" s="424"/>
      <c r="DG9" s="424"/>
      <c r="DH9" s="424"/>
      <c r="DI9" s="424"/>
      <c r="DJ9" s="424"/>
      <c r="DK9" s="424"/>
      <c r="DL9" s="424"/>
      <c r="DM9" s="424"/>
      <c r="DN9" s="424"/>
      <c r="DO9" s="424"/>
      <c r="DP9" s="424"/>
      <c r="DQ9" s="424"/>
      <c r="DR9" s="424"/>
      <c r="DS9" s="424"/>
      <c r="DT9" s="424"/>
      <c r="DU9" s="424"/>
      <c r="DV9" s="424"/>
      <c r="DW9" s="424"/>
      <c r="DX9" s="424"/>
      <c r="DY9" s="424"/>
      <c r="DZ9" s="424"/>
      <c r="EA9" s="424"/>
      <c r="EB9" s="424"/>
      <c r="EC9" s="424"/>
      <c r="ED9" s="424"/>
      <c r="EE9" s="424"/>
      <c r="EF9" s="424"/>
      <c r="EG9" s="424"/>
      <c r="EH9" s="424"/>
      <c r="EI9" s="424"/>
      <c r="EJ9" s="424"/>
      <c r="EK9" s="424"/>
      <c r="EL9" s="424"/>
      <c r="EM9" s="424"/>
      <c r="EN9" s="424"/>
      <c r="EO9" s="424"/>
      <c r="EP9" s="424"/>
      <c r="EQ9" s="424"/>
      <c r="ER9" s="424"/>
      <c r="ES9" s="424"/>
      <c r="ET9" s="424"/>
      <c r="EU9" s="424"/>
      <c r="EV9" s="424"/>
      <c r="EW9" s="424"/>
      <c r="EX9" s="424"/>
      <c r="EY9" s="424"/>
      <c r="EZ9" s="424"/>
      <c r="FA9" s="424"/>
      <c r="FB9" s="424"/>
      <c r="FC9" s="424"/>
      <c r="FD9" s="424"/>
      <c r="FE9" s="424"/>
      <c r="FF9" s="424"/>
      <c r="FG9" s="424"/>
      <c r="FH9" s="424"/>
      <c r="FI9" s="424"/>
      <c r="FJ9" s="424"/>
      <c r="FK9" s="424"/>
      <c r="FL9" s="424"/>
      <c r="FM9" s="424"/>
      <c r="FN9" s="424"/>
      <c r="FO9" s="424"/>
      <c r="FP9" s="424"/>
      <c r="FQ9" s="424"/>
      <c r="FR9" s="424"/>
      <c r="FS9" s="424"/>
      <c r="FT9" s="424"/>
      <c r="FU9" s="424"/>
      <c r="FV9" s="424"/>
      <c r="FW9" s="424"/>
      <c r="FX9" s="424"/>
      <c r="FY9" s="424"/>
      <c r="FZ9" s="424"/>
      <c r="GA9" s="424"/>
      <c r="GB9" s="424"/>
      <c r="GC9" s="424"/>
      <c r="GD9" s="424"/>
      <c r="GE9" s="424"/>
      <c r="GF9" s="424"/>
      <c r="GG9" s="424"/>
      <c r="GH9" s="424"/>
      <c r="GI9" s="424"/>
      <c r="GJ9" s="424"/>
      <c r="GK9" s="424"/>
      <c r="GL9" s="424"/>
      <c r="GM9" s="424"/>
      <c r="GN9" s="424"/>
      <c r="GO9" s="424"/>
      <c r="GP9" s="424"/>
      <c r="GQ9" s="424"/>
      <c r="GR9" s="424"/>
      <c r="GS9" s="424"/>
      <c r="GT9" s="424"/>
      <c r="GU9" s="424"/>
      <c r="GV9" s="424"/>
      <c r="GW9" s="424"/>
      <c r="GX9" s="424"/>
      <c r="GY9" s="424"/>
      <c r="GZ9" s="424"/>
      <c r="HA9" s="424"/>
      <c r="HB9" s="424"/>
      <c r="HC9" s="424"/>
      <c r="HD9" s="424"/>
      <c r="HE9" s="424"/>
      <c r="HF9" s="424"/>
      <c r="HG9" s="424"/>
      <c r="HH9" s="424"/>
      <c r="HI9" s="424"/>
      <c r="HJ9" s="424"/>
      <c r="HK9" s="424"/>
      <c r="HL9" s="424"/>
      <c r="HM9" s="424"/>
      <c r="HN9" s="424"/>
      <c r="HO9" s="424"/>
      <c r="HP9" s="424"/>
      <c r="HQ9" s="424"/>
      <c r="HR9" s="424"/>
      <c r="HS9" s="424"/>
      <c r="HT9" s="424"/>
      <c r="HU9" s="424"/>
      <c r="HV9" s="424"/>
      <c r="HW9" s="424"/>
      <c r="HX9" s="424"/>
      <c r="HY9" s="424"/>
      <c r="HZ9" s="424"/>
      <c r="IA9" s="424"/>
      <c r="IB9" s="424"/>
      <c r="IC9" s="424"/>
      <c r="ID9" s="424"/>
      <c r="IE9" s="424"/>
      <c r="IF9" s="424"/>
      <c r="IG9" s="424"/>
      <c r="IH9" s="424"/>
      <c r="II9" s="424"/>
      <c r="IJ9" s="424"/>
      <c r="IK9" s="424"/>
      <c r="IL9" s="424"/>
      <c r="IM9" s="424"/>
      <c r="IN9" s="424"/>
      <c r="IO9" s="424"/>
      <c r="IP9" s="424"/>
      <c r="IQ9" s="424"/>
      <c r="IR9" s="439"/>
      <c r="IS9" s="439"/>
      <c r="IT9" s="439"/>
      <c r="IU9" s="439"/>
      <c r="IV9" s="439"/>
    </row>
    <row r="10" s="416" customFormat="1" ht="24.95" customHeight="1" spans="1:256">
      <c r="A10" s="425" t="s">
        <v>996</v>
      </c>
      <c r="B10" s="425" t="s">
        <v>1112</v>
      </c>
      <c r="C10" s="425" t="s">
        <v>1118</v>
      </c>
      <c r="D10" s="425" t="s">
        <v>1119</v>
      </c>
      <c r="E10" s="425" t="s">
        <v>1120</v>
      </c>
      <c r="F10" s="426"/>
      <c r="G10" s="426"/>
      <c r="H10" s="426"/>
      <c r="I10" s="426"/>
      <c r="J10" s="426"/>
      <c r="K10" s="426"/>
      <c r="L10" s="426"/>
      <c r="M10" s="426"/>
      <c r="N10" s="426"/>
      <c r="O10" s="426"/>
      <c r="P10" s="426"/>
      <c r="Q10" s="426"/>
      <c r="R10" s="426"/>
      <c r="S10" s="426"/>
      <c r="T10" s="426"/>
      <c r="U10" s="426"/>
      <c r="V10" s="426"/>
      <c r="W10" s="426"/>
      <c r="X10" s="426"/>
      <c r="Y10" s="426"/>
      <c r="Z10" s="426"/>
      <c r="AA10" s="426"/>
      <c r="AB10" s="426"/>
      <c r="AC10" s="426"/>
      <c r="AD10" s="426"/>
      <c r="AE10" s="426"/>
      <c r="AF10" s="426"/>
      <c r="AG10" s="426"/>
      <c r="AH10" s="426"/>
      <c r="AI10" s="426"/>
      <c r="AJ10" s="426"/>
      <c r="AK10" s="426"/>
      <c r="AL10" s="426"/>
      <c r="AM10" s="426"/>
      <c r="AN10" s="426"/>
      <c r="AO10" s="426"/>
      <c r="AP10" s="426"/>
      <c r="AQ10" s="426"/>
      <c r="AR10" s="426"/>
      <c r="AS10" s="426"/>
      <c r="AT10" s="426"/>
      <c r="AU10" s="426"/>
      <c r="AV10" s="426"/>
      <c r="AW10" s="426"/>
      <c r="AX10" s="426"/>
      <c r="AY10" s="426"/>
      <c r="AZ10" s="426"/>
      <c r="BA10" s="426"/>
      <c r="BB10" s="426"/>
      <c r="BC10" s="426"/>
      <c r="BD10" s="426"/>
      <c r="BE10" s="426"/>
      <c r="BF10" s="426"/>
      <c r="BG10" s="426"/>
      <c r="BH10" s="426"/>
      <c r="BI10" s="426"/>
      <c r="BJ10" s="426"/>
      <c r="BK10" s="426"/>
      <c r="BL10" s="426"/>
      <c r="BM10" s="426"/>
      <c r="BN10" s="426"/>
      <c r="BO10" s="426"/>
      <c r="BP10" s="426"/>
      <c r="BQ10" s="426"/>
      <c r="BR10" s="426"/>
      <c r="BS10" s="426"/>
      <c r="BT10" s="426"/>
      <c r="BU10" s="426"/>
      <c r="BV10" s="426"/>
      <c r="BW10" s="426"/>
      <c r="BX10" s="426"/>
      <c r="BY10" s="426"/>
      <c r="BZ10" s="426"/>
      <c r="CA10" s="426"/>
      <c r="CB10" s="426"/>
      <c r="CC10" s="426"/>
      <c r="CD10" s="426"/>
      <c r="CE10" s="426"/>
      <c r="CF10" s="426"/>
      <c r="CG10" s="426"/>
      <c r="CH10" s="426"/>
      <c r="CI10" s="426"/>
      <c r="CJ10" s="426"/>
      <c r="CK10" s="426"/>
      <c r="CL10" s="426"/>
      <c r="CM10" s="426"/>
      <c r="CN10" s="426"/>
      <c r="CO10" s="426"/>
      <c r="CP10" s="426"/>
      <c r="CQ10" s="426"/>
      <c r="CR10" s="426"/>
      <c r="CS10" s="426"/>
      <c r="CT10" s="426"/>
      <c r="CU10" s="426"/>
      <c r="CV10" s="426"/>
      <c r="CW10" s="426"/>
      <c r="CX10" s="426"/>
      <c r="CY10" s="426"/>
      <c r="CZ10" s="426"/>
      <c r="DA10" s="426"/>
      <c r="DB10" s="426"/>
      <c r="DC10" s="426"/>
      <c r="DD10" s="426"/>
      <c r="DE10" s="426"/>
      <c r="DF10" s="426"/>
      <c r="DG10" s="426"/>
      <c r="DH10" s="426"/>
      <c r="DI10" s="426"/>
      <c r="DJ10" s="426"/>
      <c r="DK10" s="426"/>
      <c r="DL10" s="426"/>
      <c r="DM10" s="426"/>
      <c r="DN10" s="426"/>
      <c r="DO10" s="426"/>
      <c r="DP10" s="426"/>
      <c r="DQ10" s="426"/>
      <c r="DR10" s="426"/>
      <c r="DS10" s="426"/>
      <c r="DT10" s="426"/>
      <c r="DU10" s="426"/>
      <c r="DV10" s="426"/>
      <c r="DW10" s="426"/>
      <c r="DX10" s="426"/>
      <c r="DY10" s="426"/>
      <c r="DZ10" s="426"/>
      <c r="EA10" s="426"/>
      <c r="EB10" s="426"/>
      <c r="EC10" s="426"/>
      <c r="ED10" s="426"/>
      <c r="EE10" s="426"/>
      <c r="EF10" s="426"/>
      <c r="EG10" s="426"/>
      <c r="EH10" s="426"/>
      <c r="EI10" s="426"/>
      <c r="EJ10" s="426"/>
      <c r="EK10" s="426"/>
      <c r="EL10" s="426"/>
      <c r="EM10" s="426"/>
      <c r="EN10" s="426"/>
      <c r="EO10" s="426"/>
      <c r="EP10" s="426"/>
      <c r="EQ10" s="426"/>
      <c r="ER10" s="426"/>
      <c r="ES10" s="426"/>
      <c r="ET10" s="426"/>
      <c r="EU10" s="426"/>
      <c r="EV10" s="426"/>
      <c r="EW10" s="426"/>
      <c r="EX10" s="426"/>
      <c r="EY10" s="426"/>
      <c r="EZ10" s="426"/>
      <c r="FA10" s="426"/>
      <c r="FB10" s="426"/>
      <c r="FC10" s="426"/>
      <c r="FD10" s="426"/>
      <c r="FE10" s="426"/>
      <c r="FF10" s="426"/>
      <c r="FG10" s="426"/>
      <c r="FH10" s="426"/>
      <c r="FI10" s="426"/>
      <c r="FJ10" s="426"/>
      <c r="FK10" s="426"/>
      <c r="FL10" s="426"/>
      <c r="FM10" s="426"/>
      <c r="FN10" s="426"/>
      <c r="FO10" s="426"/>
      <c r="FP10" s="426"/>
      <c r="FQ10" s="426"/>
      <c r="FR10" s="426"/>
      <c r="FS10" s="426"/>
      <c r="FT10" s="426"/>
      <c r="FU10" s="426"/>
      <c r="FV10" s="426"/>
      <c r="FW10" s="426"/>
      <c r="FX10" s="426"/>
      <c r="FY10" s="426"/>
      <c r="FZ10" s="426"/>
      <c r="GA10" s="426"/>
      <c r="GB10" s="426"/>
      <c r="GC10" s="426"/>
      <c r="GD10" s="426"/>
      <c r="GE10" s="426"/>
      <c r="GF10" s="426"/>
      <c r="GG10" s="426"/>
      <c r="GH10" s="426"/>
      <c r="GI10" s="426"/>
      <c r="GJ10" s="426"/>
      <c r="GK10" s="426"/>
      <c r="GL10" s="426"/>
      <c r="GM10" s="426"/>
      <c r="GN10" s="426"/>
      <c r="GO10" s="426"/>
      <c r="GP10" s="426"/>
      <c r="GQ10" s="426"/>
      <c r="GR10" s="426"/>
      <c r="GS10" s="426"/>
      <c r="GT10" s="426"/>
      <c r="GU10" s="426"/>
      <c r="GV10" s="426"/>
      <c r="GW10" s="426"/>
      <c r="GX10" s="426"/>
      <c r="GY10" s="426"/>
      <c r="GZ10" s="426"/>
      <c r="HA10" s="426"/>
      <c r="HB10" s="426"/>
      <c r="HC10" s="426"/>
      <c r="HD10" s="426"/>
      <c r="HE10" s="426"/>
      <c r="HF10" s="426"/>
      <c r="HG10" s="426"/>
      <c r="HH10" s="426"/>
      <c r="HI10" s="426"/>
      <c r="HJ10" s="426"/>
      <c r="HK10" s="426"/>
      <c r="HL10" s="426"/>
      <c r="HM10" s="426"/>
      <c r="HN10" s="426"/>
      <c r="HO10" s="426"/>
      <c r="HP10" s="426"/>
      <c r="HQ10" s="426"/>
      <c r="HR10" s="426"/>
      <c r="HS10" s="426"/>
      <c r="HT10" s="426"/>
      <c r="HU10" s="426"/>
      <c r="HV10" s="426"/>
      <c r="HW10" s="426"/>
      <c r="HX10" s="426"/>
      <c r="HY10" s="426"/>
      <c r="HZ10" s="426"/>
      <c r="IA10" s="426"/>
      <c r="IB10" s="426"/>
      <c r="IC10" s="426"/>
      <c r="ID10" s="426"/>
      <c r="IE10" s="426"/>
      <c r="IF10" s="426"/>
      <c r="IG10" s="426"/>
      <c r="IH10" s="426"/>
      <c r="II10" s="426"/>
      <c r="IJ10" s="426"/>
      <c r="IK10" s="426"/>
      <c r="IL10" s="426"/>
      <c r="IM10" s="426"/>
      <c r="IN10" s="426"/>
      <c r="IO10" s="426"/>
      <c r="IP10" s="426"/>
      <c r="IQ10" s="426"/>
      <c r="IR10" s="438"/>
      <c r="IS10" s="438"/>
      <c r="IT10" s="438"/>
      <c r="IU10" s="438"/>
      <c r="IV10" s="438"/>
    </row>
    <row r="11" s="417" customFormat="1" ht="24.95" customHeight="1" spans="1:256">
      <c r="A11" s="427" t="s">
        <v>1113</v>
      </c>
      <c r="B11" s="437">
        <f t="shared" ref="B11:B14" si="1">D4</f>
        <v>0</v>
      </c>
      <c r="C11" s="433">
        <f t="shared" ref="C11:C14" si="2">$C$8</f>
        <v>0</v>
      </c>
      <c r="D11" s="433">
        <f t="shared" ref="D11:D14" si="3">C11-$B$8</f>
        <v>0</v>
      </c>
      <c r="E11" s="435" t="e">
        <f t="shared" ref="E11:E14" si="4">D11/$B$8</f>
        <v>#DIV/0!</v>
      </c>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24"/>
      <c r="AO11" s="424"/>
      <c r="AP11" s="424"/>
      <c r="AQ11" s="424"/>
      <c r="AR11" s="424"/>
      <c r="AS11" s="424"/>
      <c r="AT11" s="424"/>
      <c r="AU11" s="424"/>
      <c r="AV11" s="424"/>
      <c r="AW11" s="424"/>
      <c r="AX11" s="424"/>
      <c r="AY11" s="424"/>
      <c r="AZ11" s="424"/>
      <c r="BA11" s="424"/>
      <c r="BB11" s="424"/>
      <c r="BC11" s="424"/>
      <c r="BD11" s="424"/>
      <c r="BE11" s="424"/>
      <c r="BF11" s="424"/>
      <c r="BG11" s="424"/>
      <c r="BH11" s="424"/>
      <c r="BI11" s="424"/>
      <c r="BJ11" s="424"/>
      <c r="BK11" s="424"/>
      <c r="BL11" s="424"/>
      <c r="BM11" s="424"/>
      <c r="BN11" s="424"/>
      <c r="BO11" s="424"/>
      <c r="BP11" s="424"/>
      <c r="BQ11" s="424"/>
      <c r="BR11" s="424"/>
      <c r="BS11" s="424"/>
      <c r="BT11" s="424"/>
      <c r="BU11" s="424"/>
      <c r="BV11" s="424"/>
      <c r="BW11" s="424"/>
      <c r="BX11" s="424"/>
      <c r="BY11" s="424"/>
      <c r="BZ11" s="424"/>
      <c r="CA11" s="424"/>
      <c r="CB11" s="424"/>
      <c r="CC11" s="424"/>
      <c r="CD11" s="424"/>
      <c r="CE11" s="424"/>
      <c r="CF11" s="424"/>
      <c r="CG11" s="424"/>
      <c r="CH11" s="424"/>
      <c r="CI11" s="424"/>
      <c r="CJ11" s="424"/>
      <c r="CK11" s="424"/>
      <c r="CL11" s="424"/>
      <c r="CM11" s="424"/>
      <c r="CN11" s="424"/>
      <c r="CO11" s="424"/>
      <c r="CP11" s="424"/>
      <c r="CQ11" s="424"/>
      <c r="CR11" s="424"/>
      <c r="CS11" s="424"/>
      <c r="CT11" s="424"/>
      <c r="CU11" s="424"/>
      <c r="CV11" s="424"/>
      <c r="CW11" s="424"/>
      <c r="CX11" s="424"/>
      <c r="CY11" s="424"/>
      <c r="CZ11" s="424"/>
      <c r="DA11" s="424"/>
      <c r="DB11" s="424"/>
      <c r="DC11" s="424"/>
      <c r="DD11" s="424"/>
      <c r="DE11" s="424"/>
      <c r="DF11" s="424"/>
      <c r="DG11" s="424"/>
      <c r="DH11" s="424"/>
      <c r="DI11" s="424"/>
      <c r="DJ11" s="424"/>
      <c r="DK11" s="424"/>
      <c r="DL11" s="424"/>
      <c r="DM11" s="424"/>
      <c r="DN11" s="424"/>
      <c r="DO11" s="424"/>
      <c r="DP11" s="424"/>
      <c r="DQ11" s="424"/>
      <c r="DR11" s="424"/>
      <c r="DS11" s="424"/>
      <c r="DT11" s="424"/>
      <c r="DU11" s="424"/>
      <c r="DV11" s="424"/>
      <c r="DW11" s="424"/>
      <c r="DX11" s="424"/>
      <c r="DY11" s="424"/>
      <c r="DZ11" s="424"/>
      <c r="EA11" s="424"/>
      <c r="EB11" s="424"/>
      <c r="EC11" s="424"/>
      <c r="ED11" s="424"/>
      <c r="EE11" s="424"/>
      <c r="EF11" s="424"/>
      <c r="EG11" s="424"/>
      <c r="EH11" s="424"/>
      <c r="EI11" s="424"/>
      <c r="EJ11" s="424"/>
      <c r="EK11" s="424"/>
      <c r="EL11" s="424"/>
      <c r="EM11" s="424"/>
      <c r="EN11" s="424"/>
      <c r="EO11" s="424"/>
      <c r="EP11" s="424"/>
      <c r="EQ11" s="424"/>
      <c r="ER11" s="424"/>
      <c r="ES11" s="424"/>
      <c r="ET11" s="424"/>
      <c r="EU11" s="424"/>
      <c r="EV11" s="424"/>
      <c r="EW11" s="424"/>
      <c r="EX11" s="424"/>
      <c r="EY11" s="424"/>
      <c r="EZ11" s="424"/>
      <c r="FA11" s="424"/>
      <c r="FB11" s="424"/>
      <c r="FC11" s="424"/>
      <c r="FD11" s="424"/>
      <c r="FE11" s="424"/>
      <c r="FF11" s="424"/>
      <c r="FG11" s="424"/>
      <c r="FH11" s="424"/>
      <c r="FI11" s="424"/>
      <c r="FJ11" s="424"/>
      <c r="FK11" s="424"/>
      <c r="FL11" s="424"/>
      <c r="FM11" s="424"/>
      <c r="FN11" s="424"/>
      <c r="FO11" s="424"/>
      <c r="FP11" s="424"/>
      <c r="FQ11" s="424"/>
      <c r="FR11" s="424"/>
      <c r="FS11" s="424"/>
      <c r="FT11" s="424"/>
      <c r="FU11" s="424"/>
      <c r="FV11" s="424"/>
      <c r="FW11" s="424"/>
      <c r="FX11" s="424"/>
      <c r="FY11" s="424"/>
      <c r="FZ11" s="424"/>
      <c r="GA11" s="424"/>
      <c r="GB11" s="424"/>
      <c r="GC11" s="424"/>
      <c r="GD11" s="424"/>
      <c r="GE11" s="424"/>
      <c r="GF11" s="424"/>
      <c r="GG11" s="424"/>
      <c r="GH11" s="424"/>
      <c r="GI11" s="424"/>
      <c r="GJ11" s="424"/>
      <c r="GK11" s="424"/>
      <c r="GL11" s="424"/>
      <c r="GM11" s="424"/>
      <c r="GN11" s="424"/>
      <c r="GO11" s="424"/>
      <c r="GP11" s="424"/>
      <c r="GQ11" s="424"/>
      <c r="GR11" s="424"/>
      <c r="GS11" s="424"/>
      <c r="GT11" s="424"/>
      <c r="GU11" s="424"/>
      <c r="GV11" s="424"/>
      <c r="GW11" s="424"/>
      <c r="GX11" s="424"/>
      <c r="GY11" s="424"/>
      <c r="GZ11" s="424"/>
      <c r="HA11" s="424"/>
      <c r="HB11" s="424"/>
      <c r="HC11" s="424"/>
      <c r="HD11" s="424"/>
      <c r="HE11" s="424"/>
      <c r="HF11" s="424"/>
      <c r="HG11" s="424"/>
      <c r="HH11" s="424"/>
      <c r="HI11" s="424"/>
      <c r="HJ11" s="424"/>
      <c r="HK11" s="424"/>
      <c r="HL11" s="424"/>
      <c r="HM11" s="424"/>
      <c r="HN11" s="424"/>
      <c r="HO11" s="424"/>
      <c r="HP11" s="424"/>
      <c r="HQ11" s="424"/>
      <c r="HR11" s="424"/>
      <c r="HS11" s="424"/>
      <c r="HT11" s="424"/>
      <c r="HU11" s="424"/>
      <c r="HV11" s="424"/>
      <c r="HW11" s="424"/>
      <c r="HX11" s="424"/>
      <c r="HY11" s="424"/>
      <c r="HZ11" s="424"/>
      <c r="IA11" s="424"/>
      <c r="IB11" s="424"/>
      <c r="IC11" s="424"/>
      <c r="ID11" s="424"/>
      <c r="IE11" s="424"/>
      <c r="IF11" s="424"/>
      <c r="IG11" s="424"/>
      <c r="IH11" s="424"/>
      <c r="II11" s="424"/>
      <c r="IJ11" s="424"/>
      <c r="IK11" s="424"/>
      <c r="IL11" s="424"/>
      <c r="IM11" s="424"/>
      <c r="IN11" s="424"/>
      <c r="IO11" s="424"/>
      <c r="IP11" s="424"/>
      <c r="IQ11" s="424"/>
      <c r="IR11" s="439"/>
      <c r="IS11" s="439"/>
      <c r="IT11" s="439"/>
      <c r="IU11" s="439"/>
      <c r="IV11" s="439"/>
    </row>
    <row r="12" s="417" customFormat="1" ht="24.95" customHeight="1" spans="1:256">
      <c r="A12" s="427" t="s">
        <v>1114</v>
      </c>
      <c r="B12" s="437">
        <f t="shared" si="1"/>
        <v>0</v>
      </c>
      <c r="C12" s="433">
        <f t="shared" si="2"/>
        <v>0</v>
      </c>
      <c r="D12" s="433">
        <f t="shared" si="3"/>
        <v>0</v>
      </c>
      <c r="E12" s="435" t="e">
        <f t="shared" si="4"/>
        <v>#DIV/0!</v>
      </c>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4"/>
      <c r="AG12" s="424"/>
      <c r="AH12" s="424"/>
      <c r="AI12" s="424"/>
      <c r="AJ12" s="424"/>
      <c r="AK12" s="424"/>
      <c r="AL12" s="424"/>
      <c r="AM12" s="424"/>
      <c r="AN12" s="424"/>
      <c r="AO12" s="424"/>
      <c r="AP12" s="424"/>
      <c r="AQ12" s="424"/>
      <c r="AR12" s="424"/>
      <c r="AS12" s="424"/>
      <c r="AT12" s="424"/>
      <c r="AU12" s="424"/>
      <c r="AV12" s="424"/>
      <c r="AW12" s="424"/>
      <c r="AX12" s="424"/>
      <c r="AY12" s="424"/>
      <c r="AZ12" s="424"/>
      <c r="BA12" s="424"/>
      <c r="BB12" s="424"/>
      <c r="BC12" s="424"/>
      <c r="BD12" s="424"/>
      <c r="BE12" s="424"/>
      <c r="BF12" s="424"/>
      <c r="BG12" s="424"/>
      <c r="BH12" s="424"/>
      <c r="BI12" s="424"/>
      <c r="BJ12" s="424"/>
      <c r="BK12" s="424"/>
      <c r="BL12" s="424"/>
      <c r="BM12" s="424"/>
      <c r="BN12" s="424"/>
      <c r="BO12" s="424"/>
      <c r="BP12" s="424"/>
      <c r="BQ12" s="424"/>
      <c r="BR12" s="424"/>
      <c r="BS12" s="424"/>
      <c r="BT12" s="424"/>
      <c r="BU12" s="424"/>
      <c r="BV12" s="424"/>
      <c r="BW12" s="424"/>
      <c r="BX12" s="424"/>
      <c r="BY12" s="424"/>
      <c r="BZ12" s="424"/>
      <c r="CA12" s="424"/>
      <c r="CB12" s="424"/>
      <c r="CC12" s="424"/>
      <c r="CD12" s="424"/>
      <c r="CE12" s="424"/>
      <c r="CF12" s="424"/>
      <c r="CG12" s="424"/>
      <c r="CH12" s="424"/>
      <c r="CI12" s="424"/>
      <c r="CJ12" s="424"/>
      <c r="CK12" s="424"/>
      <c r="CL12" s="424"/>
      <c r="CM12" s="424"/>
      <c r="CN12" s="424"/>
      <c r="CO12" s="424"/>
      <c r="CP12" s="424"/>
      <c r="CQ12" s="424"/>
      <c r="CR12" s="424"/>
      <c r="CS12" s="424"/>
      <c r="CT12" s="424"/>
      <c r="CU12" s="424"/>
      <c r="CV12" s="424"/>
      <c r="CW12" s="424"/>
      <c r="CX12" s="424"/>
      <c r="CY12" s="424"/>
      <c r="CZ12" s="424"/>
      <c r="DA12" s="424"/>
      <c r="DB12" s="424"/>
      <c r="DC12" s="424"/>
      <c r="DD12" s="424"/>
      <c r="DE12" s="424"/>
      <c r="DF12" s="424"/>
      <c r="DG12" s="424"/>
      <c r="DH12" s="424"/>
      <c r="DI12" s="424"/>
      <c r="DJ12" s="424"/>
      <c r="DK12" s="424"/>
      <c r="DL12" s="424"/>
      <c r="DM12" s="424"/>
      <c r="DN12" s="424"/>
      <c r="DO12" s="424"/>
      <c r="DP12" s="424"/>
      <c r="DQ12" s="424"/>
      <c r="DR12" s="424"/>
      <c r="DS12" s="424"/>
      <c r="DT12" s="424"/>
      <c r="DU12" s="424"/>
      <c r="DV12" s="424"/>
      <c r="DW12" s="424"/>
      <c r="DX12" s="424"/>
      <c r="DY12" s="424"/>
      <c r="DZ12" s="424"/>
      <c r="EA12" s="424"/>
      <c r="EB12" s="424"/>
      <c r="EC12" s="424"/>
      <c r="ED12" s="424"/>
      <c r="EE12" s="424"/>
      <c r="EF12" s="424"/>
      <c r="EG12" s="424"/>
      <c r="EH12" s="424"/>
      <c r="EI12" s="424"/>
      <c r="EJ12" s="424"/>
      <c r="EK12" s="424"/>
      <c r="EL12" s="424"/>
      <c r="EM12" s="424"/>
      <c r="EN12" s="424"/>
      <c r="EO12" s="424"/>
      <c r="EP12" s="424"/>
      <c r="EQ12" s="424"/>
      <c r="ER12" s="424"/>
      <c r="ES12" s="424"/>
      <c r="ET12" s="424"/>
      <c r="EU12" s="424"/>
      <c r="EV12" s="424"/>
      <c r="EW12" s="424"/>
      <c r="EX12" s="424"/>
      <c r="EY12" s="424"/>
      <c r="EZ12" s="424"/>
      <c r="FA12" s="424"/>
      <c r="FB12" s="424"/>
      <c r="FC12" s="424"/>
      <c r="FD12" s="424"/>
      <c r="FE12" s="424"/>
      <c r="FF12" s="424"/>
      <c r="FG12" s="424"/>
      <c r="FH12" s="424"/>
      <c r="FI12" s="424"/>
      <c r="FJ12" s="424"/>
      <c r="FK12" s="424"/>
      <c r="FL12" s="424"/>
      <c r="FM12" s="424"/>
      <c r="FN12" s="424"/>
      <c r="FO12" s="424"/>
      <c r="FP12" s="424"/>
      <c r="FQ12" s="424"/>
      <c r="FR12" s="424"/>
      <c r="FS12" s="424"/>
      <c r="FT12" s="424"/>
      <c r="FU12" s="424"/>
      <c r="FV12" s="424"/>
      <c r="FW12" s="424"/>
      <c r="FX12" s="424"/>
      <c r="FY12" s="424"/>
      <c r="FZ12" s="424"/>
      <c r="GA12" s="424"/>
      <c r="GB12" s="424"/>
      <c r="GC12" s="424"/>
      <c r="GD12" s="424"/>
      <c r="GE12" s="424"/>
      <c r="GF12" s="424"/>
      <c r="GG12" s="424"/>
      <c r="GH12" s="424"/>
      <c r="GI12" s="424"/>
      <c r="GJ12" s="424"/>
      <c r="GK12" s="424"/>
      <c r="GL12" s="424"/>
      <c r="GM12" s="424"/>
      <c r="GN12" s="424"/>
      <c r="GO12" s="424"/>
      <c r="GP12" s="424"/>
      <c r="GQ12" s="424"/>
      <c r="GR12" s="424"/>
      <c r="GS12" s="424"/>
      <c r="GT12" s="424"/>
      <c r="GU12" s="424"/>
      <c r="GV12" s="424"/>
      <c r="GW12" s="424"/>
      <c r="GX12" s="424"/>
      <c r="GY12" s="424"/>
      <c r="GZ12" s="424"/>
      <c r="HA12" s="424"/>
      <c r="HB12" s="424"/>
      <c r="HC12" s="424"/>
      <c r="HD12" s="424"/>
      <c r="HE12" s="424"/>
      <c r="HF12" s="424"/>
      <c r="HG12" s="424"/>
      <c r="HH12" s="424"/>
      <c r="HI12" s="424"/>
      <c r="HJ12" s="424"/>
      <c r="HK12" s="424"/>
      <c r="HL12" s="424"/>
      <c r="HM12" s="424"/>
      <c r="HN12" s="424"/>
      <c r="HO12" s="424"/>
      <c r="HP12" s="424"/>
      <c r="HQ12" s="424"/>
      <c r="HR12" s="424"/>
      <c r="HS12" s="424"/>
      <c r="HT12" s="424"/>
      <c r="HU12" s="424"/>
      <c r="HV12" s="424"/>
      <c r="HW12" s="424"/>
      <c r="HX12" s="424"/>
      <c r="HY12" s="424"/>
      <c r="HZ12" s="424"/>
      <c r="IA12" s="424"/>
      <c r="IB12" s="424"/>
      <c r="IC12" s="424"/>
      <c r="ID12" s="424"/>
      <c r="IE12" s="424"/>
      <c r="IF12" s="424"/>
      <c r="IG12" s="424"/>
      <c r="IH12" s="424"/>
      <c r="II12" s="424"/>
      <c r="IJ12" s="424"/>
      <c r="IK12" s="424"/>
      <c r="IL12" s="424"/>
      <c r="IM12" s="424"/>
      <c r="IN12" s="424"/>
      <c r="IO12" s="424"/>
      <c r="IP12" s="424"/>
      <c r="IQ12" s="424"/>
      <c r="IR12" s="439"/>
      <c r="IS12" s="439"/>
      <c r="IT12" s="439"/>
      <c r="IU12" s="439"/>
      <c r="IV12" s="439"/>
    </row>
    <row r="13" s="417" customFormat="1" ht="24.95" customHeight="1" spans="1:256">
      <c r="A13" s="427" t="s">
        <v>1115</v>
      </c>
      <c r="B13" s="437">
        <f t="shared" si="1"/>
        <v>0</v>
      </c>
      <c r="C13" s="433">
        <f t="shared" si="2"/>
        <v>0</v>
      </c>
      <c r="D13" s="433">
        <f t="shared" si="3"/>
        <v>0</v>
      </c>
      <c r="E13" s="435" t="e">
        <f t="shared" si="4"/>
        <v>#DIV/0!</v>
      </c>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24"/>
      <c r="AO13" s="424"/>
      <c r="AP13" s="424"/>
      <c r="AQ13" s="424"/>
      <c r="AR13" s="424"/>
      <c r="AS13" s="424"/>
      <c r="AT13" s="424"/>
      <c r="AU13" s="424"/>
      <c r="AV13" s="424"/>
      <c r="AW13" s="424"/>
      <c r="AX13" s="424"/>
      <c r="AY13" s="424"/>
      <c r="AZ13" s="424"/>
      <c r="BA13" s="424"/>
      <c r="BB13" s="424"/>
      <c r="BC13" s="424"/>
      <c r="BD13" s="424"/>
      <c r="BE13" s="424"/>
      <c r="BF13" s="424"/>
      <c r="BG13" s="424"/>
      <c r="BH13" s="424"/>
      <c r="BI13" s="424"/>
      <c r="BJ13" s="424"/>
      <c r="BK13" s="424"/>
      <c r="BL13" s="424"/>
      <c r="BM13" s="424"/>
      <c r="BN13" s="424"/>
      <c r="BO13" s="424"/>
      <c r="BP13" s="424"/>
      <c r="BQ13" s="424"/>
      <c r="BR13" s="424"/>
      <c r="BS13" s="424"/>
      <c r="BT13" s="424"/>
      <c r="BU13" s="424"/>
      <c r="BV13" s="424"/>
      <c r="BW13" s="424"/>
      <c r="BX13" s="424"/>
      <c r="BY13" s="424"/>
      <c r="BZ13" s="424"/>
      <c r="CA13" s="424"/>
      <c r="CB13" s="424"/>
      <c r="CC13" s="424"/>
      <c r="CD13" s="424"/>
      <c r="CE13" s="424"/>
      <c r="CF13" s="424"/>
      <c r="CG13" s="424"/>
      <c r="CH13" s="424"/>
      <c r="CI13" s="424"/>
      <c r="CJ13" s="424"/>
      <c r="CK13" s="424"/>
      <c r="CL13" s="424"/>
      <c r="CM13" s="424"/>
      <c r="CN13" s="424"/>
      <c r="CO13" s="424"/>
      <c r="CP13" s="424"/>
      <c r="CQ13" s="424"/>
      <c r="CR13" s="424"/>
      <c r="CS13" s="424"/>
      <c r="CT13" s="424"/>
      <c r="CU13" s="424"/>
      <c r="CV13" s="424"/>
      <c r="CW13" s="424"/>
      <c r="CX13" s="424"/>
      <c r="CY13" s="424"/>
      <c r="CZ13" s="424"/>
      <c r="DA13" s="424"/>
      <c r="DB13" s="424"/>
      <c r="DC13" s="424"/>
      <c r="DD13" s="424"/>
      <c r="DE13" s="424"/>
      <c r="DF13" s="424"/>
      <c r="DG13" s="424"/>
      <c r="DH13" s="424"/>
      <c r="DI13" s="424"/>
      <c r="DJ13" s="424"/>
      <c r="DK13" s="424"/>
      <c r="DL13" s="424"/>
      <c r="DM13" s="424"/>
      <c r="DN13" s="424"/>
      <c r="DO13" s="424"/>
      <c r="DP13" s="424"/>
      <c r="DQ13" s="424"/>
      <c r="DR13" s="424"/>
      <c r="DS13" s="424"/>
      <c r="DT13" s="424"/>
      <c r="DU13" s="424"/>
      <c r="DV13" s="424"/>
      <c r="DW13" s="424"/>
      <c r="DX13" s="424"/>
      <c r="DY13" s="424"/>
      <c r="DZ13" s="424"/>
      <c r="EA13" s="424"/>
      <c r="EB13" s="424"/>
      <c r="EC13" s="424"/>
      <c r="ED13" s="424"/>
      <c r="EE13" s="424"/>
      <c r="EF13" s="424"/>
      <c r="EG13" s="424"/>
      <c r="EH13" s="424"/>
      <c r="EI13" s="424"/>
      <c r="EJ13" s="424"/>
      <c r="EK13" s="424"/>
      <c r="EL13" s="424"/>
      <c r="EM13" s="424"/>
      <c r="EN13" s="424"/>
      <c r="EO13" s="424"/>
      <c r="EP13" s="424"/>
      <c r="EQ13" s="424"/>
      <c r="ER13" s="424"/>
      <c r="ES13" s="424"/>
      <c r="ET13" s="424"/>
      <c r="EU13" s="424"/>
      <c r="EV13" s="424"/>
      <c r="EW13" s="424"/>
      <c r="EX13" s="424"/>
      <c r="EY13" s="424"/>
      <c r="EZ13" s="424"/>
      <c r="FA13" s="424"/>
      <c r="FB13" s="424"/>
      <c r="FC13" s="424"/>
      <c r="FD13" s="424"/>
      <c r="FE13" s="424"/>
      <c r="FF13" s="424"/>
      <c r="FG13" s="424"/>
      <c r="FH13" s="424"/>
      <c r="FI13" s="424"/>
      <c r="FJ13" s="424"/>
      <c r="FK13" s="424"/>
      <c r="FL13" s="424"/>
      <c r="FM13" s="424"/>
      <c r="FN13" s="424"/>
      <c r="FO13" s="424"/>
      <c r="FP13" s="424"/>
      <c r="FQ13" s="424"/>
      <c r="FR13" s="424"/>
      <c r="FS13" s="424"/>
      <c r="FT13" s="424"/>
      <c r="FU13" s="424"/>
      <c r="FV13" s="424"/>
      <c r="FW13" s="424"/>
      <c r="FX13" s="424"/>
      <c r="FY13" s="424"/>
      <c r="FZ13" s="424"/>
      <c r="GA13" s="424"/>
      <c r="GB13" s="424"/>
      <c r="GC13" s="424"/>
      <c r="GD13" s="424"/>
      <c r="GE13" s="424"/>
      <c r="GF13" s="424"/>
      <c r="GG13" s="424"/>
      <c r="GH13" s="424"/>
      <c r="GI13" s="424"/>
      <c r="GJ13" s="424"/>
      <c r="GK13" s="424"/>
      <c r="GL13" s="424"/>
      <c r="GM13" s="424"/>
      <c r="GN13" s="424"/>
      <c r="GO13" s="424"/>
      <c r="GP13" s="424"/>
      <c r="GQ13" s="424"/>
      <c r="GR13" s="424"/>
      <c r="GS13" s="424"/>
      <c r="GT13" s="424"/>
      <c r="GU13" s="424"/>
      <c r="GV13" s="424"/>
      <c r="GW13" s="424"/>
      <c r="GX13" s="424"/>
      <c r="GY13" s="424"/>
      <c r="GZ13" s="424"/>
      <c r="HA13" s="424"/>
      <c r="HB13" s="424"/>
      <c r="HC13" s="424"/>
      <c r="HD13" s="424"/>
      <c r="HE13" s="424"/>
      <c r="HF13" s="424"/>
      <c r="HG13" s="424"/>
      <c r="HH13" s="424"/>
      <c r="HI13" s="424"/>
      <c r="HJ13" s="424"/>
      <c r="HK13" s="424"/>
      <c r="HL13" s="424"/>
      <c r="HM13" s="424"/>
      <c r="HN13" s="424"/>
      <c r="HO13" s="424"/>
      <c r="HP13" s="424"/>
      <c r="HQ13" s="424"/>
      <c r="HR13" s="424"/>
      <c r="HS13" s="424"/>
      <c r="HT13" s="424"/>
      <c r="HU13" s="424"/>
      <c r="HV13" s="424"/>
      <c r="HW13" s="424"/>
      <c r="HX13" s="424"/>
      <c r="HY13" s="424"/>
      <c r="HZ13" s="424"/>
      <c r="IA13" s="424"/>
      <c r="IB13" s="424"/>
      <c r="IC13" s="424"/>
      <c r="ID13" s="424"/>
      <c r="IE13" s="424"/>
      <c r="IF13" s="424"/>
      <c r="IG13" s="424"/>
      <c r="IH13" s="424"/>
      <c r="II13" s="424"/>
      <c r="IJ13" s="424"/>
      <c r="IK13" s="424"/>
      <c r="IL13" s="424"/>
      <c r="IM13" s="424"/>
      <c r="IN13" s="424"/>
      <c r="IO13" s="424"/>
      <c r="IP13" s="424"/>
      <c r="IQ13" s="424"/>
      <c r="IR13" s="439"/>
      <c r="IS13" s="439"/>
      <c r="IT13" s="439"/>
      <c r="IU13" s="439"/>
      <c r="IV13" s="439"/>
    </row>
    <row r="14" s="417" customFormat="1" ht="24.95" customHeight="1" spans="1:256">
      <c r="A14" s="427" t="s">
        <v>1116</v>
      </c>
      <c r="B14" s="437">
        <f t="shared" si="1"/>
        <v>0</v>
      </c>
      <c r="C14" s="433">
        <f t="shared" si="2"/>
        <v>0</v>
      </c>
      <c r="D14" s="433">
        <f t="shared" si="3"/>
        <v>0</v>
      </c>
      <c r="E14" s="435" t="e">
        <f t="shared" si="4"/>
        <v>#DIV/0!</v>
      </c>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24"/>
      <c r="AO14" s="424"/>
      <c r="AP14" s="424"/>
      <c r="AQ14" s="424"/>
      <c r="AR14" s="424"/>
      <c r="AS14" s="424"/>
      <c r="AT14" s="424"/>
      <c r="AU14" s="424"/>
      <c r="AV14" s="424"/>
      <c r="AW14" s="424"/>
      <c r="AX14" s="424"/>
      <c r="AY14" s="424"/>
      <c r="AZ14" s="424"/>
      <c r="BA14" s="424"/>
      <c r="BB14" s="424"/>
      <c r="BC14" s="424"/>
      <c r="BD14" s="424"/>
      <c r="BE14" s="424"/>
      <c r="BF14" s="424"/>
      <c r="BG14" s="424"/>
      <c r="BH14" s="424"/>
      <c r="BI14" s="424"/>
      <c r="BJ14" s="424"/>
      <c r="BK14" s="424"/>
      <c r="BL14" s="424"/>
      <c r="BM14" s="424"/>
      <c r="BN14" s="424"/>
      <c r="BO14" s="424"/>
      <c r="BP14" s="424"/>
      <c r="BQ14" s="424"/>
      <c r="BR14" s="424"/>
      <c r="BS14" s="424"/>
      <c r="BT14" s="424"/>
      <c r="BU14" s="424"/>
      <c r="BV14" s="424"/>
      <c r="BW14" s="424"/>
      <c r="BX14" s="424"/>
      <c r="BY14" s="424"/>
      <c r="BZ14" s="424"/>
      <c r="CA14" s="424"/>
      <c r="CB14" s="424"/>
      <c r="CC14" s="424"/>
      <c r="CD14" s="424"/>
      <c r="CE14" s="424"/>
      <c r="CF14" s="424"/>
      <c r="CG14" s="424"/>
      <c r="CH14" s="424"/>
      <c r="CI14" s="424"/>
      <c r="CJ14" s="424"/>
      <c r="CK14" s="424"/>
      <c r="CL14" s="424"/>
      <c r="CM14" s="424"/>
      <c r="CN14" s="424"/>
      <c r="CO14" s="424"/>
      <c r="CP14" s="424"/>
      <c r="CQ14" s="424"/>
      <c r="CR14" s="424"/>
      <c r="CS14" s="424"/>
      <c r="CT14" s="424"/>
      <c r="CU14" s="424"/>
      <c r="CV14" s="424"/>
      <c r="CW14" s="424"/>
      <c r="CX14" s="424"/>
      <c r="CY14" s="424"/>
      <c r="CZ14" s="424"/>
      <c r="DA14" s="424"/>
      <c r="DB14" s="424"/>
      <c r="DC14" s="424"/>
      <c r="DD14" s="424"/>
      <c r="DE14" s="424"/>
      <c r="DF14" s="424"/>
      <c r="DG14" s="424"/>
      <c r="DH14" s="424"/>
      <c r="DI14" s="424"/>
      <c r="DJ14" s="424"/>
      <c r="DK14" s="424"/>
      <c r="DL14" s="424"/>
      <c r="DM14" s="424"/>
      <c r="DN14" s="424"/>
      <c r="DO14" s="424"/>
      <c r="DP14" s="424"/>
      <c r="DQ14" s="424"/>
      <c r="DR14" s="424"/>
      <c r="DS14" s="424"/>
      <c r="DT14" s="424"/>
      <c r="DU14" s="424"/>
      <c r="DV14" s="424"/>
      <c r="DW14" s="424"/>
      <c r="DX14" s="424"/>
      <c r="DY14" s="424"/>
      <c r="DZ14" s="424"/>
      <c r="EA14" s="424"/>
      <c r="EB14" s="424"/>
      <c r="EC14" s="424"/>
      <c r="ED14" s="424"/>
      <c r="EE14" s="424"/>
      <c r="EF14" s="424"/>
      <c r="EG14" s="424"/>
      <c r="EH14" s="424"/>
      <c r="EI14" s="424"/>
      <c r="EJ14" s="424"/>
      <c r="EK14" s="424"/>
      <c r="EL14" s="424"/>
      <c r="EM14" s="424"/>
      <c r="EN14" s="424"/>
      <c r="EO14" s="424"/>
      <c r="EP14" s="424"/>
      <c r="EQ14" s="424"/>
      <c r="ER14" s="424"/>
      <c r="ES14" s="424"/>
      <c r="ET14" s="424"/>
      <c r="EU14" s="424"/>
      <c r="EV14" s="424"/>
      <c r="EW14" s="424"/>
      <c r="EX14" s="424"/>
      <c r="EY14" s="424"/>
      <c r="EZ14" s="424"/>
      <c r="FA14" s="424"/>
      <c r="FB14" s="424"/>
      <c r="FC14" s="424"/>
      <c r="FD14" s="424"/>
      <c r="FE14" s="424"/>
      <c r="FF14" s="424"/>
      <c r="FG14" s="424"/>
      <c r="FH14" s="424"/>
      <c r="FI14" s="424"/>
      <c r="FJ14" s="424"/>
      <c r="FK14" s="424"/>
      <c r="FL14" s="424"/>
      <c r="FM14" s="424"/>
      <c r="FN14" s="424"/>
      <c r="FO14" s="424"/>
      <c r="FP14" s="424"/>
      <c r="FQ14" s="424"/>
      <c r="FR14" s="424"/>
      <c r="FS14" s="424"/>
      <c r="FT14" s="424"/>
      <c r="FU14" s="424"/>
      <c r="FV14" s="424"/>
      <c r="FW14" s="424"/>
      <c r="FX14" s="424"/>
      <c r="FY14" s="424"/>
      <c r="FZ14" s="424"/>
      <c r="GA14" s="424"/>
      <c r="GB14" s="424"/>
      <c r="GC14" s="424"/>
      <c r="GD14" s="424"/>
      <c r="GE14" s="424"/>
      <c r="GF14" s="424"/>
      <c r="GG14" s="424"/>
      <c r="GH14" s="424"/>
      <c r="GI14" s="424"/>
      <c r="GJ14" s="424"/>
      <c r="GK14" s="424"/>
      <c r="GL14" s="424"/>
      <c r="GM14" s="424"/>
      <c r="GN14" s="424"/>
      <c r="GO14" s="424"/>
      <c r="GP14" s="424"/>
      <c r="GQ14" s="424"/>
      <c r="GR14" s="424"/>
      <c r="GS14" s="424"/>
      <c r="GT14" s="424"/>
      <c r="GU14" s="424"/>
      <c r="GV14" s="424"/>
      <c r="GW14" s="424"/>
      <c r="GX14" s="424"/>
      <c r="GY14" s="424"/>
      <c r="GZ14" s="424"/>
      <c r="HA14" s="424"/>
      <c r="HB14" s="424"/>
      <c r="HC14" s="424"/>
      <c r="HD14" s="424"/>
      <c r="HE14" s="424"/>
      <c r="HF14" s="424"/>
      <c r="HG14" s="424"/>
      <c r="HH14" s="424"/>
      <c r="HI14" s="424"/>
      <c r="HJ14" s="424"/>
      <c r="HK14" s="424"/>
      <c r="HL14" s="424"/>
      <c r="HM14" s="424"/>
      <c r="HN14" s="424"/>
      <c r="HO14" s="424"/>
      <c r="HP14" s="424"/>
      <c r="HQ14" s="424"/>
      <c r="HR14" s="424"/>
      <c r="HS14" s="424"/>
      <c r="HT14" s="424"/>
      <c r="HU14" s="424"/>
      <c r="HV14" s="424"/>
      <c r="HW14" s="424"/>
      <c r="HX14" s="424"/>
      <c r="HY14" s="424"/>
      <c r="HZ14" s="424"/>
      <c r="IA14" s="424"/>
      <c r="IB14" s="424"/>
      <c r="IC14" s="424"/>
      <c r="ID14" s="424"/>
      <c r="IE14" s="424"/>
      <c r="IF14" s="424"/>
      <c r="IG14" s="424"/>
      <c r="IH14" s="424"/>
      <c r="II14" s="424"/>
      <c r="IJ14" s="424"/>
      <c r="IK14" s="424"/>
      <c r="IL14" s="424"/>
      <c r="IM14" s="424"/>
      <c r="IN14" s="424"/>
      <c r="IO14" s="424"/>
      <c r="IP14" s="424"/>
      <c r="IQ14" s="424"/>
      <c r="IR14" s="439"/>
      <c r="IS14" s="439"/>
      <c r="IT14" s="439"/>
      <c r="IU14" s="439"/>
      <c r="IV14" s="439"/>
    </row>
    <row r="15" s="417" customFormat="1" ht="24.95" customHeight="1" spans="1:256">
      <c r="A15" s="422" t="e">
        <f>#REF!</f>
        <v>#REF!</v>
      </c>
      <c r="B15" s="422"/>
      <c r="C15" s="422"/>
      <c r="D15" s="422"/>
      <c r="E15" s="422"/>
      <c r="F15" s="424"/>
      <c r="G15" s="424"/>
      <c r="H15" s="424"/>
      <c r="I15" s="424"/>
      <c r="J15" s="424"/>
      <c r="K15" s="424"/>
      <c r="L15" s="424"/>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424"/>
      <c r="AM15" s="424"/>
      <c r="AN15" s="424"/>
      <c r="AO15" s="424"/>
      <c r="AP15" s="424"/>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c r="BM15" s="424"/>
      <c r="BN15" s="424"/>
      <c r="BO15" s="424"/>
      <c r="BP15" s="424"/>
      <c r="BQ15" s="424"/>
      <c r="BR15" s="424"/>
      <c r="BS15" s="424"/>
      <c r="BT15" s="424"/>
      <c r="BU15" s="424"/>
      <c r="BV15" s="424"/>
      <c r="BW15" s="424"/>
      <c r="BX15" s="424"/>
      <c r="BY15" s="424"/>
      <c r="BZ15" s="424"/>
      <c r="CA15" s="424"/>
      <c r="CB15" s="424"/>
      <c r="CC15" s="424"/>
      <c r="CD15" s="424"/>
      <c r="CE15" s="424"/>
      <c r="CF15" s="424"/>
      <c r="CG15" s="424"/>
      <c r="CH15" s="424"/>
      <c r="CI15" s="424"/>
      <c r="CJ15" s="424"/>
      <c r="CK15" s="424"/>
      <c r="CL15" s="424"/>
      <c r="CM15" s="424"/>
      <c r="CN15" s="424"/>
      <c r="CO15" s="424"/>
      <c r="CP15" s="424"/>
      <c r="CQ15" s="424"/>
      <c r="CR15" s="424"/>
      <c r="CS15" s="424"/>
      <c r="CT15" s="424"/>
      <c r="CU15" s="424"/>
      <c r="CV15" s="424"/>
      <c r="CW15" s="424"/>
      <c r="CX15" s="424"/>
      <c r="CY15" s="424"/>
      <c r="CZ15" s="424"/>
      <c r="DA15" s="424"/>
      <c r="DB15" s="424"/>
      <c r="DC15" s="424"/>
      <c r="DD15" s="424"/>
      <c r="DE15" s="424"/>
      <c r="DF15" s="424"/>
      <c r="DG15" s="424"/>
      <c r="DH15" s="424"/>
      <c r="DI15" s="424"/>
      <c r="DJ15" s="424"/>
      <c r="DK15" s="424"/>
      <c r="DL15" s="424"/>
      <c r="DM15" s="424"/>
      <c r="DN15" s="424"/>
      <c r="DO15" s="424"/>
      <c r="DP15" s="424"/>
      <c r="DQ15" s="424"/>
      <c r="DR15" s="424"/>
      <c r="DS15" s="424"/>
      <c r="DT15" s="424"/>
      <c r="DU15" s="424"/>
      <c r="DV15" s="424"/>
      <c r="DW15" s="424"/>
      <c r="DX15" s="424"/>
      <c r="DY15" s="424"/>
      <c r="DZ15" s="424"/>
      <c r="EA15" s="424"/>
      <c r="EB15" s="424"/>
      <c r="EC15" s="424"/>
      <c r="ED15" s="424"/>
      <c r="EE15" s="424"/>
      <c r="EF15" s="424"/>
      <c r="EG15" s="424"/>
      <c r="EH15" s="424"/>
      <c r="EI15" s="424"/>
      <c r="EJ15" s="424"/>
      <c r="EK15" s="424"/>
      <c r="EL15" s="424"/>
      <c r="EM15" s="424"/>
      <c r="EN15" s="424"/>
      <c r="EO15" s="424"/>
      <c r="EP15" s="424"/>
      <c r="EQ15" s="424"/>
      <c r="ER15" s="424"/>
      <c r="ES15" s="424"/>
      <c r="ET15" s="424"/>
      <c r="EU15" s="424"/>
      <c r="EV15" s="424"/>
      <c r="EW15" s="424"/>
      <c r="EX15" s="424"/>
      <c r="EY15" s="424"/>
      <c r="EZ15" s="424"/>
      <c r="FA15" s="424"/>
      <c r="FB15" s="424"/>
      <c r="FC15" s="424"/>
      <c r="FD15" s="424"/>
      <c r="FE15" s="424"/>
      <c r="FF15" s="424"/>
      <c r="FG15" s="424"/>
      <c r="FH15" s="424"/>
      <c r="FI15" s="424"/>
      <c r="FJ15" s="424"/>
      <c r="FK15" s="424"/>
      <c r="FL15" s="424"/>
      <c r="FM15" s="424"/>
      <c r="FN15" s="424"/>
      <c r="FO15" s="424"/>
      <c r="FP15" s="424"/>
      <c r="FQ15" s="424"/>
      <c r="FR15" s="424"/>
      <c r="FS15" s="424"/>
      <c r="FT15" s="424"/>
      <c r="FU15" s="424"/>
      <c r="FV15" s="424"/>
      <c r="FW15" s="424"/>
      <c r="FX15" s="424"/>
      <c r="FY15" s="424"/>
      <c r="FZ15" s="424"/>
      <c r="GA15" s="424"/>
      <c r="GB15" s="424"/>
      <c r="GC15" s="424"/>
      <c r="GD15" s="424"/>
      <c r="GE15" s="424"/>
      <c r="GF15" s="424"/>
      <c r="GG15" s="424"/>
      <c r="GH15" s="424"/>
      <c r="GI15" s="424"/>
      <c r="GJ15" s="424"/>
      <c r="GK15" s="424"/>
      <c r="GL15" s="424"/>
      <c r="GM15" s="424"/>
      <c r="GN15" s="424"/>
      <c r="GO15" s="424"/>
      <c r="GP15" s="424"/>
      <c r="GQ15" s="424"/>
      <c r="GR15" s="424"/>
      <c r="GS15" s="424"/>
      <c r="GT15" s="424"/>
      <c r="GU15" s="424"/>
      <c r="GV15" s="424"/>
      <c r="GW15" s="424"/>
      <c r="GX15" s="424"/>
      <c r="GY15" s="424"/>
      <c r="GZ15" s="424"/>
      <c r="HA15" s="424"/>
      <c r="HB15" s="424"/>
      <c r="HC15" s="424"/>
      <c r="HD15" s="424"/>
      <c r="HE15" s="424"/>
      <c r="HF15" s="424"/>
      <c r="HG15" s="424"/>
      <c r="HH15" s="424"/>
      <c r="HI15" s="424"/>
      <c r="HJ15" s="424"/>
      <c r="HK15" s="424"/>
      <c r="HL15" s="424"/>
      <c r="HM15" s="424"/>
      <c r="HN15" s="424"/>
      <c r="HO15" s="424"/>
      <c r="HP15" s="424"/>
      <c r="HQ15" s="424"/>
      <c r="HR15" s="424"/>
      <c r="HS15" s="424"/>
      <c r="HT15" s="424"/>
      <c r="HU15" s="424"/>
      <c r="HV15" s="424"/>
      <c r="HW15" s="424"/>
      <c r="HX15" s="424"/>
      <c r="HY15" s="424"/>
      <c r="HZ15" s="424"/>
      <c r="IA15" s="424"/>
      <c r="IB15" s="424"/>
      <c r="IC15" s="424"/>
      <c r="ID15" s="424"/>
      <c r="IE15" s="424"/>
      <c r="IF15" s="424"/>
      <c r="IG15" s="424"/>
      <c r="IH15" s="424"/>
      <c r="II15" s="424"/>
      <c r="IJ15" s="424"/>
      <c r="IK15" s="424"/>
      <c r="IL15" s="424"/>
      <c r="IM15" s="424"/>
      <c r="IN15" s="424"/>
      <c r="IO15" s="424"/>
      <c r="IP15" s="424"/>
      <c r="IQ15" s="424"/>
      <c r="IR15" s="439"/>
      <c r="IS15" s="439"/>
      <c r="IT15" s="439"/>
      <c r="IU15" s="439"/>
      <c r="IV15" s="439"/>
    </row>
  </sheetData>
  <mergeCells count="4">
    <mergeCell ref="A1:E1"/>
    <mergeCell ref="A2:B2"/>
    <mergeCell ref="A9:E9"/>
    <mergeCell ref="A15:E15"/>
  </mergeCells>
  <printOptions horizontalCentered="1"/>
  <pageMargins left="0.349305555555556" right="0.349305555555556" top="0.979166666666667" bottom="0.979166666666667" header="0.509027777777778" footer="0.509027777777778"/>
  <pageSetup paperSize="9" orientation="portrait" horizontalDpi="200"/>
  <headerFooter alignWithMargins="0" scaleWithDoc="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J140"/>
  <sheetViews>
    <sheetView zoomScale="90" zoomScaleNormal="90" workbookViewId="0">
      <selection activeCell="I5" sqref="I5"/>
    </sheetView>
  </sheetViews>
  <sheetFormatPr defaultColWidth="9" defaultRowHeight="14.25"/>
  <cols>
    <col min="1" max="1" width="1.625" style="389" customWidth="1"/>
    <col min="2" max="2" width="8.625" style="389" customWidth="1"/>
    <col min="3" max="6" width="12.625" style="389" customWidth="1"/>
    <col min="7" max="9" width="15.625" style="389" customWidth="1"/>
    <col min="10" max="10" width="18.625" style="389" customWidth="1"/>
  </cols>
  <sheetData>
    <row r="1" ht="15" spans="1:10">
      <c r="A1" s="388"/>
      <c r="B1" s="390"/>
      <c r="C1" s="388"/>
      <c r="D1" s="388"/>
      <c r="E1" s="391"/>
      <c r="F1" s="392" t="str">
        <f>资产负债表!F3</f>
        <v>单位：元 </v>
      </c>
      <c r="G1" s="393" t="s">
        <v>59</v>
      </c>
      <c r="H1" s="394" t="s">
        <v>1091</v>
      </c>
      <c r="I1" s="402">
        <v>250000</v>
      </c>
      <c r="J1" s="391"/>
    </row>
    <row r="2" spans="5:10">
      <c r="E2" s="395"/>
      <c r="F2" s="395"/>
      <c r="G2" s="393"/>
      <c r="H2" s="396" t="s">
        <v>1092</v>
      </c>
      <c r="I2" s="403">
        <v>10000</v>
      </c>
      <c r="J2" s="395"/>
    </row>
    <row r="3" spans="5:10">
      <c r="E3" s="395"/>
      <c r="F3" s="395"/>
      <c r="G3" s="393"/>
      <c r="H3" s="396" t="s">
        <v>1093</v>
      </c>
      <c r="I3" s="404">
        <f>I1-I2</f>
        <v>240000</v>
      </c>
      <c r="J3" s="395"/>
    </row>
    <row r="4" spans="5:10">
      <c r="E4" s="395"/>
      <c r="F4" s="395"/>
      <c r="G4" s="393"/>
      <c r="H4" s="396" t="s">
        <v>1094</v>
      </c>
      <c r="I4" s="405">
        <v>30</v>
      </c>
      <c r="J4" s="395"/>
    </row>
    <row r="5" spans="5:10">
      <c r="E5" s="395"/>
      <c r="F5" s="395"/>
      <c r="G5" s="393"/>
      <c r="H5" s="396" t="s">
        <v>1095</v>
      </c>
      <c r="I5" s="406">
        <v>0.0535</v>
      </c>
      <c r="J5" s="395"/>
    </row>
    <row r="6" spans="5:10">
      <c r="E6" s="395"/>
      <c r="F6" s="395"/>
      <c r="G6" s="393"/>
      <c r="H6" s="396"/>
      <c r="I6" s="407"/>
      <c r="J6" s="395"/>
    </row>
    <row r="7" spans="5:10">
      <c r="E7" s="395"/>
      <c r="F7" s="395"/>
      <c r="G7" s="393"/>
      <c r="H7" s="396" t="s">
        <v>1096</v>
      </c>
      <c r="I7" s="408">
        <v>27</v>
      </c>
      <c r="J7" s="395"/>
    </row>
    <row r="8" spans="5:10">
      <c r="E8" s="397" t="s">
        <v>1097</v>
      </c>
      <c r="F8" s="395"/>
      <c r="G8" s="393"/>
      <c r="H8" s="396" t="s">
        <v>1098</v>
      </c>
      <c r="I8" s="408">
        <f>IF(J8=E8,1,2)</f>
        <v>2</v>
      </c>
      <c r="J8" s="397" t="s">
        <v>1099</v>
      </c>
    </row>
    <row r="9" spans="5:10">
      <c r="E9" s="397" t="s">
        <v>1099</v>
      </c>
      <c r="F9" s="395"/>
      <c r="G9" s="393"/>
      <c r="H9" s="396" t="s">
        <v>1100</v>
      </c>
      <c r="I9" s="404">
        <f>INDEX($C$19:$J$138,$I$7,($I$8-1)*4+1)</f>
        <v>303.322034676555</v>
      </c>
      <c r="J9" s="395"/>
    </row>
    <row r="10" spans="5:10">
      <c r="E10" s="395"/>
      <c r="F10" s="395"/>
      <c r="G10" s="393"/>
      <c r="H10" s="396" t="s">
        <v>1101</v>
      </c>
      <c r="I10" s="404">
        <f>INDEX($C$19:$J$138,$I$7,($I$8-1)*4+2)</f>
        <v>1036.87083261061</v>
      </c>
      <c r="J10" s="395"/>
    </row>
    <row r="11" spans="5:10">
      <c r="E11" s="395"/>
      <c r="F11" s="395"/>
      <c r="G11" s="393"/>
      <c r="H11" s="396" t="s">
        <v>1102</v>
      </c>
      <c r="I11" s="404">
        <f>INDEX($C$19:$J$138,$I$7,($I$8-1)*4+3)</f>
        <v>1340.19286728716</v>
      </c>
      <c r="J11" s="395"/>
    </row>
    <row r="12" ht="15" spans="5:10">
      <c r="E12" s="395"/>
      <c r="F12" s="395"/>
      <c r="G12" s="393"/>
      <c r="H12" s="398" t="s">
        <v>1103</v>
      </c>
      <c r="I12" s="410">
        <f>INDEX($C$19:$J$138,$I$7,($I$8-1)*4+4)</f>
        <v>232265.836681721</v>
      </c>
      <c r="J12" s="395"/>
    </row>
    <row r="13" ht="15"/>
    <row r="15" spans="1:10">
      <c r="A15" s="388"/>
      <c r="B15" s="399" t="s">
        <v>1104</v>
      </c>
      <c r="C15" s="399"/>
      <c r="D15" s="399"/>
      <c r="E15" s="399"/>
      <c r="F15" s="399"/>
      <c r="G15" s="399"/>
      <c r="H15" s="399"/>
      <c r="I15" s="399"/>
      <c r="J15" s="399"/>
    </row>
    <row r="16" spans="1:10">
      <c r="A16" s="388"/>
      <c r="B16" s="399" t="s">
        <v>1105</v>
      </c>
      <c r="C16" s="399"/>
      <c r="D16" s="399"/>
      <c r="E16" s="399"/>
      <c r="F16" s="399"/>
      <c r="G16" s="399" t="s">
        <v>1106</v>
      </c>
      <c r="H16" s="399"/>
      <c r="I16" s="399"/>
      <c r="J16" s="399"/>
    </row>
    <row r="17" spans="1:10">
      <c r="A17" s="388"/>
      <c r="B17" s="399" t="s">
        <v>1107</v>
      </c>
      <c r="C17" s="399" t="s">
        <v>1100</v>
      </c>
      <c r="D17" s="399" t="s">
        <v>1101</v>
      </c>
      <c r="E17" s="399" t="s">
        <v>1102</v>
      </c>
      <c r="F17" s="399" t="s">
        <v>1103</v>
      </c>
      <c r="G17" s="399" t="s">
        <v>1100</v>
      </c>
      <c r="H17" s="399" t="s">
        <v>1101</v>
      </c>
      <c r="I17" s="399" t="s">
        <v>1102</v>
      </c>
      <c r="J17" s="399" t="s">
        <v>1103</v>
      </c>
    </row>
    <row r="18" spans="1:10">
      <c r="A18" s="388"/>
      <c r="B18" s="400">
        <v>0</v>
      </c>
      <c r="C18" s="401"/>
      <c r="D18" s="401"/>
      <c r="E18" s="401"/>
      <c r="F18" s="401">
        <f>I3</f>
        <v>240000</v>
      </c>
      <c r="G18" s="401"/>
      <c r="H18" s="401"/>
      <c r="I18" s="401"/>
      <c r="J18" s="401">
        <f>I3</f>
        <v>240000</v>
      </c>
    </row>
    <row r="19" spans="1:10">
      <c r="A19" s="388"/>
      <c r="B19" s="400">
        <v>1</v>
      </c>
      <c r="C19" s="401">
        <f t="shared" ref="C19:C50" si="0">$I$3/($I$4*12)</f>
        <v>666.666666666667</v>
      </c>
      <c r="D19" s="401">
        <f t="shared" ref="D19:D50" si="1">ISPMT($I$5/12,B19,$I$4*12,-$I$3)</f>
        <v>1067.02777777778</v>
      </c>
      <c r="E19" s="401">
        <f t="shared" ref="E19:E82" si="2">C19+D19</f>
        <v>1733.69444444444</v>
      </c>
      <c r="F19" s="401">
        <f t="shared" ref="F19:F82" si="3">F18-C19</f>
        <v>239333.333333333</v>
      </c>
      <c r="G19" s="401">
        <f t="shared" ref="G19:G50" si="4">PPMT($I$5/12,B19,$I$4*12,-$I$3)</f>
        <v>270.19286728716</v>
      </c>
      <c r="H19" s="401">
        <f t="shared" ref="H19:H50" si="5">IPMT($I$5/12,B19,$I$4*12,-$I$3)</f>
        <v>1070</v>
      </c>
      <c r="I19" s="401">
        <f t="shared" ref="I19:I82" si="6">G19+H19</f>
        <v>1340.19286728716</v>
      </c>
      <c r="J19" s="401">
        <f t="shared" ref="J19:J82" si="7">J18-G19</f>
        <v>239729.807132713</v>
      </c>
    </row>
    <row r="20" spans="1:10">
      <c r="A20" s="388"/>
      <c r="B20" s="400">
        <v>2</v>
      </c>
      <c r="C20" s="401">
        <f t="shared" si="0"/>
        <v>666.666666666667</v>
      </c>
      <c r="D20" s="401">
        <f t="shared" si="1"/>
        <v>1064.05555555556</v>
      </c>
      <c r="E20" s="401">
        <f t="shared" si="2"/>
        <v>1730.72222222222</v>
      </c>
      <c r="F20" s="401">
        <f t="shared" si="3"/>
        <v>238666.666666667</v>
      </c>
      <c r="G20" s="401">
        <f t="shared" si="4"/>
        <v>271.397477153816</v>
      </c>
      <c r="H20" s="401">
        <f t="shared" si="5"/>
        <v>1068.79539013334</v>
      </c>
      <c r="I20" s="401">
        <f t="shared" si="6"/>
        <v>1340.19286728716</v>
      </c>
      <c r="J20" s="401">
        <f t="shared" si="7"/>
        <v>239458.409655559</v>
      </c>
    </row>
    <row r="21" spans="1:10">
      <c r="A21" s="388"/>
      <c r="B21" s="400">
        <v>3</v>
      </c>
      <c r="C21" s="401">
        <f t="shared" si="0"/>
        <v>666.666666666667</v>
      </c>
      <c r="D21" s="401">
        <f t="shared" si="1"/>
        <v>1061.08333333333</v>
      </c>
      <c r="E21" s="401">
        <f t="shared" si="2"/>
        <v>1727.75</v>
      </c>
      <c r="F21" s="401">
        <f t="shared" si="3"/>
        <v>238000</v>
      </c>
      <c r="G21" s="401">
        <f t="shared" si="4"/>
        <v>272.607457572793</v>
      </c>
      <c r="H21" s="401">
        <f t="shared" si="5"/>
        <v>1067.58540971437</v>
      </c>
      <c r="I21" s="401">
        <f t="shared" si="6"/>
        <v>1340.19286728716</v>
      </c>
      <c r="J21" s="401">
        <f t="shared" si="7"/>
        <v>239185.802197986</v>
      </c>
    </row>
    <row r="22" spans="1:10">
      <c r="A22" s="388"/>
      <c r="B22" s="400">
        <v>4</v>
      </c>
      <c r="C22" s="401">
        <f t="shared" si="0"/>
        <v>666.666666666667</v>
      </c>
      <c r="D22" s="401">
        <f t="shared" si="1"/>
        <v>1058.11111111111</v>
      </c>
      <c r="E22" s="401">
        <f t="shared" si="2"/>
        <v>1724.77777777778</v>
      </c>
      <c r="F22" s="401">
        <f t="shared" si="3"/>
        <v>237333.333333333</v>
      </c>
      <c r="G22" s="401">
        <f t="shared" si="4"/>
        <v>273.822832487805</v>
      </c>
      <c r="H22" s="401">
        <f t="shared" si="5"/>
        <v>1066.37003479936</v>
      </c>
      <c r="I22" s="401">
        <f t="shared" si="6"/>
        <v>1340.19286728716</v>
      </c>
      <c r="J22" s="401">
        <f t="shared" si="7"/>
        <v>238911.979365498</v>
      </c>
    </row>
    <row r="23" spans="1:10">
      <c r="A23" s="388"/>
      <c r="B23" s="400">
        <v>5</v>
      </c>
      <c r="C23" s="401">
        <f t="shared" si="0"/>
        <v>666.666666666667</v>
      </c>
      <c r="D23" s="401">
        <f t="shared" si="1"/>
        <v>1055.13888888889</v>
      </c>
      <c r="E23" s="401">
        <f t="shared" si="2"/>
        <v>1721.80555555556</v>
      </c>
      <c r="F23" s="401">
        <f t="shared" si="3"/>
        <v>236666.666666667</v>
      </c>
      <c r="G23" s="401">
        <f t="shared" si="4"/>
        <v>275.043625949313</v>
      </c>
      <c r="H23" s="401">
        <f t="shared" si="5"/>
        <v>1065.14924133785</v>
      </c>
      <c r="I23" s="401">
        <f t="shared" si="6"/>
        <v>1340.19286728716</v>
      </c>
      <c r="J23" s="401">
        <f t="shared" si="7"/>
        <v>238636.935739549</v>
      </c>
    </row>
    <row r="24" spans="1:10">
      <c r="A24" s="388"/>
      <c r="B24" s="400">
        <v>6</v>
      </c>
      <c r="C24" s="401">
        <f t="shared" si="0"/>
        <v>666.666666666667</v>
      </c>
      <c r="D24" s="401">
        <f t="shared" si="1"/>
        <v>1052.16666666667</v>
      </c>
      <c r="E24" s="401">
        <f t="shared" si="2"/>
        <v>1718.83333333333</v>
      </c>
      <c r="F24" s="401">
        <f t="shared" si="3"/>
        <v>236000</v>
      </c>
      <c r="G24" s="401">
        <f t="shared" si="4"/>
        <v>276.269862115004</v>
      </c>
      <c r="H24" s="401">
        <f t="shared" si="5"/>
        <v>1063.92300517216</v>
      </c>
      <c r="I24" s="401">
        <f t="shared" si="6"/>
        <v>1340.19286728716</v>
      </c>
      <c r="J24" s="401">
        <f t="shared" si="7"/>
        <v>238360.665877434</v>
      </c>
    </row>
    <row r="25" spans="1:10">
      <c r="A25" s="388"/>
      <c r="B25" s="400">
        <v>7</v>
      </c>
      <c r="C25" s="401">
        <f t="shared" si="0"/>
        <v>666.666666666667</v>
      </c>
      <c r="D25" s="401">
        <f t="shared" si="1"/>
        <v>1049.19444444444</v>
      </c>
      <c r="E25" s="401">
        <f t="shared" si="2"/>
        <v>1715.86111111111</v>
      </c>
      <c r="F25" s="401">
        <f t="shared" si="3"/>
        <v>235333.333333333</v>
      </c>
      <c r="G25" s="401">
        <f t="shared" si="4"/>
        <v>277.501565250267</v>
      </c>
      <c r="H25" s="401">
        <f t="shared" si="5"/>
        <v>1062.69130203689</v>
      </c>
      <c r="I25" s="401">
        <f t="shared" si="6"/>
        <v>1340.19286728716</v>
      </c>
      <c r="J25" s="401">
        <f t="shared" si="7"/>
        <v>238083.164312184</v>
      </c>
    </row>
    <row r="26" spans="1:10">
      <c r="A26" s="388"/>
      <c r="B26" s="400">
        <v>8</v>
      </c>
      <c r="C26" s="401">
        <f t="shared" si="0"/>
        <v>666.666666666667</v>
      </c>
      <c r="D26" s="401">
        <f t="shared" si="1"/>
        <v>1046.22222222222</v>
      </c>
      <c r="E26" s="401">
        <f t="shared" si="2"/>
        <v>1712.88888888889</v>
      </c>
      <c r="F26" s="401">
        <f t="shared" si="3"/>
        <v>234666.666666667</v>
      </c>
      <c r="G26" s="401">
        <f t="shared" si="4"/>
        <v>278.738759728674</v>
      </c>
      <c r="H26" s="401">
        <f t="shared" si="5"/>
        <v>1061.45410755849</v>
      </c>
      <c r="I26" s="401">
        <f t="shared" si="6"/>
        <v>1340.19286728716</v>
      </c>
      <c r="J26" s="401">
        <f t="shared" si="7"/>
        <v>237804.425552455</v>
      </c>
    </row>
    <row r="27" spans="1:10">
      <c r="A27" s="388"/>
      <c r="B27" s="400">
        <v>9</v>
      </c>
      <c r="C27" s="401">
        <f t="shared" si="0"/>
        <v>666.666666666667</v>
      </c>
      <c r="D27" s="401">
        <f t="shared" si="1"/>
        <v>1043.25</v>
      </c>
      <c r="E27" s="401">
        <f t="shared" si="2"/>
        <v>1709.91666666667</v>
      </c>
      <c r="F27" s="401">
        <f t="shared" si="3"/>
        <v>234000</v>
      </c>
      <c r="G27" s="401">
        <f t="shared" si="4"/>
        <v>279.981470032464</v>
      </c>
      <c r="H27" s="401">
        <f t="shared" si="5"/>
        <v>1060.2113972547</v>
      </c>
      <c r="I27" s="401">
        <f t="shared" si="6"/>
        <v>1340.19286728716</v>
      </c>
      <c r="J27" s="401">
        <f t="shared" si="7"/>
        <v>237524.444082423</v>
      </c>
    </row>
    <row r="28" spans="1:10">
      <c r="A28" s="388"/>
      <c r="B28" s="400">
        <v>10</v>
      </c>
      <c r="C28" s="401">
        <f t="shared" si="0"/>
        <v>666.666666666667</v>
      </c>
      <c r="D28" s="401">
        <f t="shared" si="1"/>
        <v>1040.27777777778</v>
      </c>
      <c r="E28" s="401">
        <f t="shared" si="2"/>
        <v>1706.94444444444</v>
      </c>
      <c r="F28" s="401">
        <f t="shared" si="3"/>
        <v>233333.333333333</v>
      </c>
      <c r="G28" s="401">
        <f t="shared" si="4"/>
        <v>281.229720753026</v>
      </c>
      <c r="H28" s="401">
        <f t="shared" si="5"/>
        <v>1058.96314653413</v>
      </c>
      <c r="I28" s="401">
        <f t="shared" si="6"/>
        <v>1340.19286728716</v>
      </c>
      <c r="J28" s="401">
        <f t="shared" si="7"/>
        <v>237243.21436167</v>
      </c>
    </row>
    <row r="29" spans="1:10">
      <c r="A29" s="388"/>
      <c r="B29" s="400">
        <v>11</v>
      </c>
      <c r="C29" s="401">
        <f t="shared" si="0"/>
        <v>666.666666666667</v>
      </c>
      <c r="D29" s="401">
        <f t="shared" si="1"/>
        <v>1037.30555555556</v>
      </c>
      <c r="E29" s="401">
        <f t="shared" si="2"/>
        <v>1703.97222222222</v>
      </c>
      <c r="F29" s="401">
        <f t="shared" si="3"/>
        <v>232666.666666667</v>
      </c>
      <c r="G29" s="401">
        <f t="shared" si="4"/>
        <v>282.483536591383</v>
      </c>
      <c r="H29" s="401">
        <f t="shared" si="5"/>
        <v>1057.70933069578</v>
      </c>
      <c r="I29" s="401">
        <f t="shared" si="6"/>
        <v>1340.19286728716</v>
      </c>
      <c r="J29" s="401">
        <f t="shared" si="7"/>
        <v>236960.730825078</v>
      </c>
    </row>
    <row r="30" spans="1:10">
      <c r="A30" s="388"/>
      <c r="B30" s="400">
        <v>12</v>
      </c>
      <c r="C30" s="401">
        <f t="shared" si="0"/>
        <v>666.666666666667</v>
      </c>
      <c r="D30" s="401">
        <f t="shared" si="1"/>
        <v>1034.33333333333</v>
      </c>
      <c r="E30" s="401">
        <f t="shared" si="2"/>
        <v>1701</v>
      </c>
      <c r="F30" s="401">
        <f t="shared" si="3"/>
        <v>232000</v>
      </c>
      <c r="G30" s="401">
        <f t="shared" si="4"/>
        <v>283.742942358686</v>
      </c>
      <c r="H30" s="401">
        <f t="shared" si="5"/>
        <v>1056.44992492847</v>
      </c>
      <c r="I30" s="401">
        <f t="shared" si="6"/>
        <v>1340.19286728716</v>
      </c>
      <c r="J30" s="401">
        <f t="shared" si="7"/>
        <v>236676.98788272</v>
      </c>
    </row>
    <row r="31" spans="1:10">
      <c r="A31" s="388"/>
      <c r="B31" s="400">
        <v>13</v>
      </c>
      <c r="C31" s="401">
        <f t="shared" si="0"/>
        <v>666.666666666667</v>
      </c>
      <c r="D31" s="401">
        <f t="shared" si="1"/>
        <v>1031.36111111111</v>
      </c>
      <c r="E31" s="401">
        <f t="shared" si="2"/>
        <v>1698.02777777778</v>
      </c>
      <c r="F31" s="401">
        <f t="shared" si="3"/>
        <v>231333.333333333</v>
      </c>
      <c r="G31" s="401">
        <f t="shared" si="4"/>
        <v>285.007962976702</v>
      </c>
      <c r="H31" s="401">
        <f t="shared" si="5"/>
        <v>1055.18490431046</v>
      </c>
      <c r="I31" s="401">
        <f t="shared" si="6"/>
        <v>1340.19286728716</v>
      </c>
      <c r="J31" s="401">
        <f t="shared" si="7"/>
        <v>236391.979919743</v>
      </c>
    </row>
    <row r="32" spans="1:10">
      <c r="A32" s="388"/>
      <c r="B32" s="400">
        <v>14</v>
      </c>
      <c r="C32" s="401">
        <f t="shared" si="0"/>
        <v>666.666666666667</v>
      </c>
      <c r="D32" s="401">
        <f t="shared" si="1"/>
        <v>1028.38888888889</v>
      </c>
      <c r="E32" s="401">
        <f t="shared" si="2"/>
        <v>1695.05555555556</v>
      </c>
      <c r="F32" s="401">
        <f t="shared" si="3"/>
        <v>230666.666666667</v>
      </c>
      <c r="G32" s="401">
        <f t="shared" si="4"/>
        <v>286.278623478306</v>
      </c>
      <c r="H32" s="401">
        <f t="shared" si="5"/>
        <v>1053.91424380885</v>
      </c>
      <c r="I32" s="401">
        <f t="shared" si="6"/>
        <v>1340.19286728716</v>
      </c>
      <c r="J32" s="401">
        <f t="shared" si="7"/>
        <v>236105.701296265</v>
      </c>
    </row>
    <row r="33" spans="1:10">
      <c r="A33" s="388"/>
      <c r="B33" s="400">
        <v>15</v>
      </c>
      <c r="C33" s="401">
        <f t="shared" si="0"/>
        <v>666.666666666667</v>
      </c>
      <c r="D33" s="401">
        <f t="shared" si="1"/>
        <v>1025.41666666667</v>
      </c>
      <c r="E33" s="401">
        <f t="shared" si="2"/>
        <v>1692.08333333333</v>
      </c>
      <c r="F33" s="401">
        <f t="shared" si="3"/>
        <v>230000</v>
      </c>
      <c r="G33" s="401">
        <f t="shared" si="4"/>
        <v>287.55494900798</v>
      </c>
      <c r="H33" s="401">
        <f t="shared" si="5"/>
        <v>1052.63791827918</v>
      </c>
      <c r="I33" s="401">
        <f t="shared" si="6"/>
        <v>1340.19286728716</v>
      </c>
      <c r="J33" s="401">
        <f t="shared" si="7"/>
        <v>235818.146347257</v>
      </c>
    </row>
    <row r="34" spans="1:10">
      <c r="A34" s="388"/>
      <c r="B34" s="400">
        <v>16</v>
      </c>
      <c r="C34" s="401">
        <f t="shared" si="0"/>
        <v>666.666666666667</v>
      </c>
      <c r="D34" s="401">
        <f t="shared" si="1"/>
        <v>1022.44444444444</v>
      </c>
      <c r="E34" s="401">
        <f t="shared" si="2"/>
        <v>1689.11111111111</v>
      </c>
      <c r="F34" s="401">
        <f t="shared" si="3"/>
        <v>229333.333333333</v>
      </c>
      <c r="G34" s="401">
        <f t="shared" si="4"/>
        <v>288.836964822308</v>
      </c>
      <c r="H34" s="401">
        <f t="shared" si="5"/>
        <v>1051.35590246485</v>
      </c>
      <c r="I34" s="401">
        <f t="shared" si="6"/>
        <v>1340.19286728716</v>
      </c>
      <c r="J34" s="401">
        <f t="shared" si="7"/>
        <v>235529.309382434</v>
      </c>
    </row>
    <row r="35" spans="1:10">
      <c r="A35" s="388"/>
      <c r="B35" s="400">
        <v>17</v>
      </c>
      <c r="C35" s="401">
        <f t="shared" si="0"/>
        <v>666.666666666667</v>
      </c>
      <c r="D35" s="401">
        <f t="shared" si="1"/>
        <v>1019.47222222222</v>
      </c>
      <c r="E35" s="401">
        <f t="shared" si="2"/>
        <v>1686.13888888889</v>
      </c>
      <c r="F35" s="401">
        <f t="shared" si="3"/>
        <v>228666.666666667</v>
      </c>
      <c r="G35" s="401">
        <f t="shared" si="4"/>
        <v>290.124696290474</v>
      </c>
      <c r="H35" s="401">
        <f t="shared" si="5"/>
        <v>1050.06817099669</v>
      </c>
      <c r="I35" s="401">
        <f t="shared" si="6"/>
        <v>1340.19286728716</v>
      </c>
      <c r="J35" s="401">
        <f t="shared" si="7"/>
        <v>235239.184686144</v>
      </c>
    </row>
    <row r="36" spans="1:10">
      <c r="A36" s="388"/>
      <c r="B36" s="400">
        <v>18</v>
      </c>
      <c r="C36" s="401">
        <f t="shared" si="0"/>
        <v>666.666666666667</v>
      </c>
      <c r="D36" s="401">
        <f t="shared" si="1"/>
        <v>1016.5</v>
      </c>
      <c r="E36" s="401">
        <f t="shared" si="2"/>
        <v>1683.16666666667</v>
      </c>
      <c r="F36" s="401">
        <f t="shared" si="3"/>
        <v>228000</v>
      </c>
      <c r="G36" s="401">
        <f t="shared" si="4"/>
        <v>291.418168894769</v>
      </c>
      <c r="H36" s="401">
        <f t="shared" si="5"/>
        <v>1048.77469839239</v>
      </c>
      <c r="I36" s="401">
        <f t="shared" si="6"/>
        <v>1340.19286728716</v>
      </c>
      <c r="J36" s="401">
        <f t="shared" si="7"/>
        <v>234947.766517249</v>
      </c>
    </row>
    <row r="37" spans="1:10">
      <c r="A37" s="388"/>
      <c r="B37" s="400">
        <v>19</v>
      </c>
      <c r="C37" s="401">
        <f t="shared" si="0"/>
        <v>666.666666666667</v>
      </c>
      <c r="D37" s="401">
        <f t="shared" si="1"/>
        <v>1013.52777777778</v>
      </c>
      <c r="E37" s="401">
        <f t="shared" si="2"/>
        <v>1680.19444444444</v>
      </c>
      <c r="F37" s="401">
        <f t="shared" si="3"/>
        <v>227333.333333334</v>
      </c>
      <c r="G37" s="401">
        <f t="shared" si="4"/>
        <v>292.717408231091</v>
      </c>
      <c r="H37" s="401">
        <f t="shared" si="5"/>
        <v>1047.47545905607</v>
      </c>
      <c r="I37" s="401">
        <f t="shared" si="6"/>
        <v>1340.19286728716</v>
      </c>
      <c r="J37" s="401">
        <f t="shared" si="7"/>
        <v>234655.049109018</v>
      </c>
    </row>
    <row r="38" spans="1:10">
      <c r="A38" s="388"/>
      <c r="B38" s="400">
        <v>20</v>
      </c>
      <c r="C38" s="401">
        <f t="shared" si="0"/>
        <v>666.666666666667</v>
      </c>
      <c r="D38" s="401">
        <f t="shared" si="1"/>
        <v>1010.55555555556</v>
      </c>
      <c r="E38" s="401">
        <f t="shared" si="2"/>
        <v>1677.22222222222</v>
      </c>
      <c r="F38" s="401">
        <f t="shared" si="3"/>
        <v>226666.666666667</v>
      </c>
      <c r="G38" s="401">
        <f t="shared" si="4"/>
        <v>294.022440009455</v>
      </c>
      <c r="H38" s="401">
        <f t="shared" si="5"/>
        <v>1046.17042727771</v>
      </c>
      <c r="I38" s="401">
        <f t="shared" si="6"/>
        <v>1340.19286728716</v>
      </c>
      <c r="J38" s="401">
        <f t="shared" si="7"/>
        <v>234361.026669008</v>
      </c>
    </row>
    <row r="39" spans="1:10">
      <c r="A39" s="388"/>
      <c r="B39" s="400">
        <v>21</v>
      </c>
      <c r="C39" s="401">
        <f t="shared" si="0"/>
        <v>666.666666666667</v>
      </c>
      <c r="D39" s="401">
        <f t="shared" si="1"/>
        <v>1007.58333333333</v>
      </c>
      <c r="E39" s="401">
        <f t="shared" si="2"/>
        <v>1674.25</v>
      </c>
      <c r="F39" s="401">
        <f t="shared" si="3"/>
        <v>226000</v>
      </c>
      <c r="G39" s="401">
        <f t="shared" si="4"/>
        <v>295.333290054497</v>
      </c>
      <c r="H39" s="401">
        <f t="shared" si="5"/>
        <v>1044.85957723266</v>
      </c>
      <c r="I39" s="401">
        <f t="shared" si="6"/>
        <v>1340.19286728716</v>
      </c>
      <c r="J39" s="401">
        <f t="shared" si="7"/>
        <v>234065.693378954</v>
      </c>
    </row>
    <row r="40" spans="1:10">
      <c r="A40" s="388"/>
      <c r="B40" s="400">
        <v>22</v>
      </c>
      <c r="C40" s="401">
        <f t="shared" si="0"/>
        <v>666.666666666667</v>
      </c>
      <c r="D40" s="401">
        <f t="shared" si="1"/>
        <v>1004.61111111111</v>
      </c>
      <c r="E40" s="401">
        <f t="shared" si="2"/>
        <v>1671.27777777778</v>
      </c>
      <c r="F40" s="401">
        <f t="shared" si="3"/>
        <v>225333.333333334</v>
      </c>
      <c r="G40" s="401">
        <f t="shared" si="4"/>
        <v>296.64998430599</v>
      </c>
      <c r="H40" s="401">
        <f t="shared" si="5"/>
        <v>1043.54288298117</v>
      </c>
      <c r="I40" s="401">
        <f t="shared" si="6"/>
        <v>1340.19286728716</v>
      </c>
      <c r="J40" s="401">
        <f t="shared" si="7"/>
        <v>233769.043394648</v>
      </c>
    </row>
    <row r="41" spans="1:10">
      <c r="A41" s="388"/>
      <c r="B41" s="400">
        <v>23</v>
      </c>
      <c r="C41" s="401">
        <f t="shared" si="0"/>
        <v>666.666666666667</v>
      </c>
      <c r="D41" s="401">
        <f t="shared" si="1"/>
        <v>1001.63888888889</v>
      </c>
      <c r="E41" s="401">
        <f t="shared" si="2"/>
        <v>1668.30555555556</v>
      </c>
      <c r="F41" s="401">
        <f t="shared" si="3"/>
        <v>224666.666666667</v>
      </c>
      <c r="G41" s="401">
        <f t="shared" si="4"/>
        <v>297.972548819354</v>
      </c>
      <c r="H41" s="401">
        <f t="shared" si="5"/>
        <v>1042.22031846781</v>
      </c>
      <c r="I41" s="401">
        <f t="shared" si="6"/>
        <v>1340.19286728716</v>
      </c>
      <c r="J41" s="401">
        <f t="shared" si="7"/>
        <v>233471.070845829</v>
      </c>
    </row>
    <row r="42" spans="1:10">
      <c r="A42" s="388"/>
      <c r="B42" s="400">
        <v>24</v>
      </c>
      <c r="C42" s="401">
        <f t="shared" si="0"/>
        <v>666.666666666667</v>
      </c>
      <c r="D42" s="401">
        <f t="shared" si="1"/>
        <v>998.666666666667</v>
      </c>
      <c r="E42" s="401">
        <f t="shared" si="2"/>
        <v>1665.33333333333</v>
      </c>
      <c r="F42" s="401">
        <f t="shared" si="3"/>
        <v>224000</v>
      </c>
      <c r="G42" s="401">
        <f t="shared" si="4"/>
        <v>299.301009766174</v>
      </c>
      <c r="H42" s="401">
        <f t="shared" si="5"/>
        <v>1040.89185752099</v>
      </c>
      <c r="I42" s="401">
        <f t="shared" si="6"/>
        <v>1340.19286728716</v>
      </c>
      <c r="J42" s="401">
        <f t="shared" si="7"/>
        <v>233171.769836062</v>
      </c>
    </row>
    <row r="43" spans="1:10">
      <c r="A43" s="388"/>
      <c r="B43" s="400">
        <v>25</v>
      </c>
      <c r="C43" s="401">
        <f t="shared" si="0"/>
        <v>666.666666666667</v>
      </c>
      <c r="D43" s="401">
        <f t="shared" si="1"/>
        <v>995.694444444444</v>
      </c>
      <c r="E43" s="401">
        <f t="shared" si="2"/>
        <v>1662.36111111111</v>
      </c>
      <c r="F43" s="401">
        <f t="shared" si="3"/>
        <v>223333.333333334</v>
      </c>
      <c r="G43" s="401">
        <f t="shared" si="4"/>
        <v>300.635393434714</v>
      </c>
      <c r="H43" s="401">
        <f t="shared" si="5"/>
        <v>1039.55747385245</v>
      </c>
      <c r="I43" s="401">
        <f t="shared" si="6"/>
        <v>1340.19286728716</v>
      </c>
      <c r="J43" s="401">
        <f t="shared" si="7"/>
        <v>232871.134442628</v>
      </c>
    </row>
    <row r="44" spans="1:10">
      <c r="A44" s="388"/>
      <c r="B44" s="400">
        <v>26</v>
      </c>
      <c r="C44" s="401">
        <f t="shared" si="0"/>
        <v>666.666666666667</v>
      </c>
      <c r="D44" s="401">
        <f t="shared" si="1"/>
        <v>992.722222222222</v>
      </c>
      <c r="E44" s="401">
        <f t="shared" si="2"/>
        <v>1659.38888888889</v>
      </c>
      <c r="F44" s="401">
        <f t="shared" si="3"/>
        <v>222666.666666667</v>
      </c>
      <c r="G44" s="401">
        <f t="shared" si="4"/>
        <v>301.975726230444</v>
      </c>
      <c r="H44" s="401">
        <f t="shared" si="5"/>
        <v>1038.21714105672</v>
      </c>
      <c r="I44" s="401">
        <f t="shared" si="6"/>
        <v>1340.19286728716</v>
      </c>
      <c r="J44" s="401">
        <f t="shared" si="7"/>
        <v>232569.158716397</v>
      </c>
    </row>
    <row r="45" spans="1:10">
      <c r="A45" s="388"/>
      <c r="B45" s="400">
        <v>27</v>
      </c>
      <c r="C45" s="401">
        <f t="shared" si="0"/>
        <v>666.666666666667</v>
      </c>
      <c r="D45" s="401">
        <f t="shared" si="1"/>
        <v>989.75</v>
      </c>
      <c r="E45" s="401">
        <f t="shared" si="2"/>
        <v>1656.41666666667</v>
      </c>
      <c r="F45" s="401">
        <f t="shared" si="3"/>
        <v>222000</v>
      </c>
      <c r="G45" s="401">
        <f t="shared" si="4"/>
        <v>303.322034676555</v>
      </c>
      <c r="H45" s="401">
        <f t="shared" si="5"/>
        <v>1036.87083261061</v>
      </c>
      <c r="I45" s="401">
        <f t="shared" si="6"/>
        <v>1340.19286728716</v>
      </c>
      <c r="J45" s="401">
        <f t="shared" si="7"/>
        <v>232265.836681721</v>
      </c>
    </row>
    <row r="46" spans="1:10">
      <c r="A46" s="388"/>
      <c r="B46" s="400">
        <v>28</v>
      </c>
      <c r="C46" s="401">
        <f t="shared" si="0"/>
        <v>666.666666666667</v>
      </c>
      <c r="D46" s="401">
        <f t="shared" si="1"/>
        <v>986.777777777778</v>
      </c>
      <c r="E46" s="401">
        <f t="shared" si="2"/>
        <v>1653.44444444444</v>
      </c>
      <c r="F46" s="401">
        <f t="shared" si="3"/>
        <v>221333.333333334</v>
      </c>
      <c r="G46" s="401">
        <f t="shared" si="4"/>
        <v>304.674345414488</v>
      </c>
      <c r="H46" s="401">
        <f t="shared" si="5"/>
        <v>1035.51852187267</v>
      </c>
      <c r="I46" s="401">
        <f t="shared" si="6"/>
        <v>1340.19286728716</v>
      </c>
      <c r="J46" s="401">
        <f t="shared" si="7"/>
        <v>231961.162336306</v>
      </c>
    </row>
    <row r="47" spans="1:10">
      <c r="A47" s="388"/>
      <c r="B47" s="400">
        <v>29</v>
      </c>
      <c r="C47" s="401">
        <f t="shared" si="0"/>
        <v>666.666666666667</v>
      </c>
      <c r="D47" s="401">
        <f t="shared" si="1"/>
        <v>983.805555555556</v>
      </c>
      <c r="E47" s="401">
        <f t="shared" si="2"/>
        <v>1650.47222222222</v>
      </c>
      <c r="F47" s="401">
        <f t="shared" si="3"/>
        <v>220666.666666667</v>
      </c>
      <c r="G47" s="401">
        <f t="shared" si="4"/>
        <v>306.032685204461</v>
      </c>
      <c r="H47" s="401">
        <f t="shared" si="5"/>
        <v>1034.1601820827</v>
      </c>
      <c r="I47" s="401">
        <f t="shared" si="6"/>
        <v>1340.19286728716</v>
      </c>
      <c r="J47" s="401">
        <f t="shared" si="7"/>
        <v>231655.129651102</v>
      </c>
    </row>
    <row r="48" spans="1:10">
      <c r="A48" s="388"/>
      <c r="B48" s="400">
        <v>30</v>
      </c>
      <c r="C48" s="401">
        <f t="shared" si="0"/>
        <v>666.666666666667</v>
      </c>
      <c r="D48" s="401">
        <f t="shared" si="1"/>
        <v>980.833333333333</v>
      </c>
      <c r="E48" s="401">
        <f t="shared" si="2"/>
        <v>1647.5</v>
      </c>
      <c r="F48" s="401">
        <f t="shared" si="3"/>
        <v>220000</v>
      </c>
      <c r="G48" s="401">
        <f t="shared" si="4"/>
        <v>307.397080925997</v>
      </c>
      <c r="H48" s="401">
        <f t="shared" si="5"/>
        <v>1032.79578636116</v>
      </c>
      <c r="I48" s="401">
        <f t="shared" si="6"/>
        <v>1340.19286728716</v>
      </c>
      <c r="J48" s="401">
        <f t="shared" si="7"/>
        <v>231347.732570176</v>
      </c>
    </row>
    <row r="49" spans="1:10">
      <c r="A49" s="388"/>
      <c r="B49" s="400">
        <v>31</v>
      </c>
      <c r="C49" s="401">
        <f t="shared" si="0"/>
        <v>666.666666666667</v>
      </c>
      <c r="D49" s="401">
        <f t="shared" si="1"/>
        <v>977.861111111111</v>
      </c>
      <c r="E49" s="401">
        <f t="shared" si="2"/>
        <v>1644.52777777778</v>
      </c>
      <c r="F49" s="401">
        <f t="shared" si="3"/>
        <v>219333.333333334</v>
      </c>
      <c r="G49" s="401">
        <f t="shared" si="4"/>
        <v>308.767559578459</v>
      </c>
      <c r="H49" s="401">
        <f t="shared" si="5"/>
        <v>1031.4253077087</v>
      </c>
      <c r="I49" s="401">
        <f t="shared" si="6"/>
        <v>1340.19286728716</v>
      </c>
      <c r="J49" s="401">
        <f t="shared" si="7"/>
        <v>231038.965010597</v>
      </c>
    </row>
    <row r="50" spans="1:10">
      <c r="A50" s="388"/>
      <c r="B50" s="400">
        <v>32</v>
      </c>
      <c r="C50" s="401">
        <f t="shared" si="0"/>
        <v>666.666666666667</v>
      </c>
      <c r="D50" s="401">
        <f t="shared" si="1"/>
        <v>974.888888888889</v>
      </c>
      <c r="E50" s="401">
        <f t="shared" si="2"/>
        <v>1641.55555555556</v>
      </c>
      <c r="F50" s="401">
        <f t="shared" si="3"/>
        <v>218666.666666667</v>
      </c>
      <c r="G50" s="401">
        <f t="shared" si="4"/>
        <v>310.14414828158</v>
      </c>
      <c r="H50" s="401">
        <f t="shared" si="5"/>
        <v>1030.04871900558</v>
      </c>
      <c r="I50" s="401">
        <f t="shared" si="6"/>
        <v>1340.19286728716</v>
      </c>
      <c r="J50" s="401">
        <f t="shared" si="7"/>
        <v>230728.820862316</v>
      </c>
    </row>
    <row r="51" spans="1:10">
      <c r="A51" s="388"/>
      <c r="B51" s="400">
        <v>33</v>
      </c>
      <c r="C51" s="401">
        <f t="shared" ref="C51:C82" si="8">$I$3/($I$4*12)</f>
        <v>666.666666666667</v>
      </c>
      <c r="D51" s="401">
        <f t="shared" ref="D51:D82" si="9">ISPMT($I$5/12,B51,$I$4*12,-$I$3)</f>
        <v>971.916666666667</v>
      </c>
      <c r="E51" s="401">
        <f t="shared" si="2"/>
        <v>1638.58333333333</v>
      </c>
      <c r="F51" s="401">
        <f t="shared" si="3"/>
        <v>218000</v>
      </c>
      <c r="G51" s="401">
        <f t="shared" ref="G51:G82" si="10">PPMT($I$5/12,B51,$I$4*12,-$I$3)</f>
        <v>311.526874276002</v>
      </c>
      <c r="H51" s="401">
        <f t="shared" ref="H51:H82" si="11">IPMT($I$5/12,B51,$I$4*12,-$I$3)</f>
        <v>1028.66599301116</v>
      </c>
      <c r="I51" s="401">
        <f t="shared" si="6"/>
        <v>1340.19286728716</v>
      </c>
      <c r="J51" s="401">
        <f t="shared" si="7"/>
        <v>230417.29398804</v>
      </c>
    </row>
    <row r="52" spans="1:10">
      <c r="A52" s="388"/>
      <c r="B52" s="400">
        <v>34</v>
      </c>
      <c r="C52" s="401">
        <f t="shared" si="8"/>
        <v>666.666666666667</v>
      </c>
      <c r="D52" s="401">
        <f t="shared" si="9"/>
        <v>968.944444444444</v>
      </c>
      <c r="E52" s="401">
        <f t="shared" si="2"/>
        <v>1635.61111111111</v>
      </c>
      <c r="F52" s="401">
        <f t="shared" si="3"/>
        <v>217333.333333334</v>
      </c>
      <c r="G52" s="401">
        <f t="shared" si="10"/>
        <v>312.915764923815</v>
      </c>
      <c r="H52" s="401">
        <f t="shared" si="11"/>
        <v>1027.27710236334</v>
      </c>
      <c r="I52" s="401">
        <f t="shared" si="6"/>
        <v>1340.19286728716</v>
      </c>
      <c r="J52" s="401">
        <f t="shared" si="7"/>
        <v>230104.378223116</v>
      </c>
    </row>
    <row r="53" spans="1:10">
      <c r="A53" s="388"/>
      <c r="B53" s="400">
        <v>35</v>
      </c>
      <c r="C53" s="401">
        <f t="shared" si="8"/>
        <v>666.666666666667</v>
      </c>
      <c r="D53" s="401">
        <f t="shared" si="9"/>
        <v>965.972222222222</v>
      </c>
      <c r="E53" s="401">
        <f t="shared" si="2"/>
        <v>1632.63888888889</v>
      </c>
      <c r="F53" s="401">
        <f t="shared" si="3"/>
        <v>216666.666666667</v>
      </c>
      <c r="G53" s="401">
        <f t="shared" si="10"/>
        <v>314.310847709101</v>
      </c>
      <c r="H53" s="401">
        <f t="shared" si="11"/>
        <v>1025.88201957806</v>
      </c>
      <c r="I53" s="401">
        <f t="shared" si="6"/>
        <v>1340.19286728716</v>
      </c>
      <c r="J53" s="401">
        <f t="shared" si="7"/>
        <v>229790.067375407</v>
      </c>
    </row>
    <row r="54" spans="1:10">
      <c r="A54" s="388"/>
      <c r="B54" s="400">
        <v>36</v>
      </c>
      <c r="C54" s="401">
        <f t="shared" si="8"/>
        <v>666.666666666667</v>
      </c>
      <c r="D54" s="401">
        <f t="shared" si="9"/>
        <v>963</v>
      </c>
      <c r="E54" s="401">
        <f t="shared" si="2"/>
        <v>1629.66666666667</v>
      </c>
      <c r="F54" s="401">
        <f t="shared" si="3"/>
        <v>216000</v>
      </c>
      <c r="G54" s="401">
        <f t="shared" si="10"/>
        <v>315.71215023847</v>
      </c>
      <c r="H54" s="401">
        <f t="shared" si="11"/>
        <v>1024.48071704869</v>
      </c>
      <c r="I54" s="401">
        <f t="shared" si="6"/>
        <v>1340.19286728716</v>
      </c>
      <c r="J54" s="401">
        <f t="shared" si="7"/>
        <v>229474.355225168</v>
      </c>
    </row>
    <row r="55" spans="1:10">
      <c r="A55" s="388"/>
      <c r="B55" s="400">
        <v>37</v>
      </c>
      <c r="C55" s="401">
        <f t="shared" si="8"/>
        <v>666.666666666667</v>
      </c>
      <c r="D55" s="401">
        <f t="shared" si="9"/>
        <v>960.027777777778</v>
      </c>
      <c r="E55" s="401">
        <f t="shared" si="2"/>
        <v>1626.69444444444</v>
      </c>
      <c r="F55" s="401">
        <f t="shared" si="3"/>
        <v>215333.333333334</v>
      </c>
      <c r="G55" s="401">
        <f t="shared" si="10"/>
        <v>317.119700241617</v>
      </c>
      <c r="H55" s="401">
        <f t="shared" si="11"/>
        <v>1023.07316704554</v>
      </c>
      <c r="I55" s="401">
        <f t="shared" si="6"/>
        <v>1340.19286728716</v>
      </c>
      <c r="J55" s="401">
        <f t="shared" si="7"/>
        <v>229157.235524927</v>
      </c>
    </row>
    <row r="56" spans="1:10">
      <c r="A56" s="388"/>
      <c r="B56" s="400">
        <v>38</v>
      </c>
      <c r="C56" s="401">
        <f t="shared" si="8"/>
        <v>666.666666666667</v>
      </c>
      <c r="D56" s="401">
        <f t="shared" si="9"/>
        <v>957.055555555556</v>
      </c>
      <c r="E56" s="401">
        <f t="shared" si="2"/>
        <v>1623.72222222222</v>
      </c>
      <c r="F56" s="401">
        <f t="shared" si="3"/>
        <v>214666.666666667</v>
      </c>
      <c r="G56" s="401">
        <f t="shared" si="10"/>
        <v>318.533525571861</v>
      </c>
      <c r="H56" s="401">
        <f t="shared" si="11"/>
        <v>1021.6593417153</v>
      </c>
      <c r="I56" s="401">
        <f t="shared" si="6"/>
        <v>1340.19286728716</v>
      </c>
      <c r="J56" s="401">
        <f t="shared" si="7"/>
        <v>228838.701999355</v>
      </c>
    </row>
    <row r="57" spans="1:10">
      <c r="A57" s="388"/>
      <c r="B57" s="400">
        <v>39</v>
      </c>
      <c r="C57" s="401">
        <f t="shared" si="8"/>
        <v>666.666666666667</v>
      </c>
      <c r="D57" s="401">
        <f t="shared" si="9"/>
        <v>954.083333333333</v>
      </c>
      <c r="E57" s="401">
        <f t="shared" si="2"/>
        <v>1620.75</v>
      </c>
      <c r="F57" s="401">
        <f t="shared" si="3"/>
        <v>214000</v>
      </c>
      <c r="G57" s="401">
        <f t="shared" si="10"/>
        <v>319.953654206702</v>
      </c>
      <c r="H57" s="401">
        <f t="shared" si="11"/>
        <v>1020.23921308046</v>
      </c>
      <c r="I57" s="401">
        <f t="shared" si="6"/>
        <v>1340.19286728716</v>
      </c>
      <c r="J57" s="401">
        <f t="shared" si="7"/>
        <v>228518.748345148</v>
      </c>
    </row>
    <row r="58" spans="1:10">
      <c r="A58" s="388"/>
      <c r="B58" s="400">
        <v>40</v>
      </c>
      <c r="C58" s="401">
        <f t="shared" si="8"/>
        <v>666.666666666667</v>
      </c>
      <c r="D58" s="401">
        <f t="shared" si="9"/>
        <v>951.111111111111</v>
      </c>
      <c r="E58" s="401">
        <f t="shared" si="2"/>
        <v>1617.77777777778</v>
      </c>
      <c r="F58" s="401">
        <f t="shared" si="3"/>
        <v>213333.333333334</v>
      </c>
      <c r="G58" s="401">
        <f t="shared" si="10"/>
        <v>321.380114248373</v>
      </c>
      <c r="H58" s="401">
        <f t="shared" si="11"/>
        <v>1018.81275303879</v>
      </c>
      <c r="I58" s="401">
        <f t="shared" si="6"/>
        <v>1340.19286728716</v>
      </c>
      <c r="J58" s="401">
        <f t="shared" si="7"/>
        <v>228197.3682309</v>
      </c>
    </row>
    <row r="59" spans="1:10">
      <c r="A59" s="388"/>
      <c r="B59" s="400">
        <v>41</v>
      </c>
      <c r="C59" s="401">
        <f t="shared" si="8"/>
        <v>666.666666666667</v>
      </c>
      <c r="D59" s="401">
        <f t="shared" si="9"/>
        <v>948.138888888889</v>
      </c>
      <c r="E59" s="401">
        <f t="shared" si="2"/>
        <v>1614.80555555556</v>
      </c>
      <c r="F59" s="401">
        <f t="shared" si="3"/>
        <v>212666.666666667</v>
      </c>
      <c r="G59" s="401">
        <f t="shared" si="10"/>
        <v>322.812933924397</v>
      </c>
      <c r="H59" s="401">
        <f t="shared" si="11"/>
        <v>1017.37993336276</v>
      </c>
      <c r="I59" s="401">
        <f t="shared" si="6"/>
        <v>1340.19286728716</v>
      </c>
      <c r="J59" s="401">
        <f t="shared" si="7"/>
        <v>227874.555296975</v>
      </c>
    </row>
    <row r="60" spans="1:10">
      <c r="A60" s="388"/>
      <c r="B60" s="400">
        <v>42</v>
      </c>
      <c r="C60" s="401">
        <f t="shared" si="8"/>
        <v>666.666666666667</v>
      </c>
      <c r="D60" s="401">
        <f t="shared" si="9"/>
        <v>945.166666666667</v>
      </c>
      <c r="E60" s="401">
        <f t="shared" si="2"/>
        <v>1611.83333333333</v>
      </c>
      <c r="F60" s="401">
        <f t="shared" si="3"/>
        <v>212000</v>
      </c>
      <c r="G60" s="401">
        <f t="shared" si="10"/>
        <v>324.252141588144</v>
      </c>
      <c r="H60" s="401">
        <f t="shared" si="11"/>
        <v>1015.94072569902</v>
      </c>
      <c r="I60" s="401">
        <f t="shared" si="6"/>
        <v>1340.19286728716</v>
      </c>
      <c r="J60" s="401">
        <f t="shared" si="7"/>
        <v>227550.303155387</v>
      </c>
    </row>
    <row r="61" spans="1:10">
      <c r="A61" s="388"/>
      <c r="B61" s="400">
        <v>43</v>
      </c>
      <c r="C61" s="401">
        <f t="shared" si="8"/>
        <v>666.666666666667</v>
      </c>
      <c r="D61" s="401">
        <f t="shared" si="9"/>
        <v>942.194444444444</v>
      </c>
      <c r="E61" s="401">
        <f t="shared" si="2"/>
        <v>1608.86111111111</v>
      </c>
      <c r="F61" s="401">
        <f t="shared" si="3"/>
        <v>211333.333333334</v>
      </c>
      <c r="G61" s="401">
        <f t="shared" si="10"/>
        <v>325.697765719391</v>
      </c>
      <c r="H61" s="401">
        <f t="shared" si="11"/>
        <v>1014.49510156777</v>
      </c>
      <c r="I61" s="401">
        <f t="shared" si="6"/>
        <v>1340.19286728716</v>
      </c>
      <c r="J61" s="401">
        <f t="shared" si="7"/>
        <v>227224.605389668</v>
      </c>
    </row>
    <row r="62" spans="1:10">
      <c r="A62" s="388"/>
      <c r="B62" s="400">
        <v>44</v>
      </c>
      <c r="C62" s="401">
        <f t="shared" si="8"/>
        <v>666.666666666667</v>
      </c>
      <c r="D62" s="401">
        <f t="shared" si="9"/>
        <v>939.222222222222</v>
      </c>
      <c r="E62" s="401">
        <f t="shared" si="2"/>
        <v>1605.88888888889</v>
      </c>
      <c r="F62" s="401">
        <f t="shared" si="3"/>
        <v>210666.666666667</v>
      </c>
      <c r="G62" s="401">
        <f t="shared" si="10"/>
        <v>327.14983492489</v>
      </c>
      <c r="H62" s="401">
        <f t="shared" si="11"/>
        <v>1013.04303236227</v>
      </c>
      <c r="I62" s="401">
        <f t="shared" si="6"/>
        <v>1340.19286728716</v>
      </c>
      <c r="J62" s="401">
        <f t="shared" si="7"/>
        <v>226897.455554743</v>
      </c>
    </row>
    <row r="63" spans="1:10">
      <c r="A63" s="388"/>
      <c r="B63" s="400">
        <v>45</v>
      </c>
      <c r="C63" s="401">
        <f t="shared" si="8"/>
        <v>666.666666666667</v>
      </c>
      <c r="D63" s="401">
        <f t="shared" si="9"/>
        <v>936.25</v>
      </c>
      <c r="E63" s="401">
        <f t="shared" si="2"/>
        <v>1602.91666666667</v>
      </c>
      <c r="F63" s="401">
        <f t="shared" si="3"/>
        <v>210000</v>
      </c>
      <c r="G63" s="401">
        <f t="shared" si="10"/>
        <v>328.60837793893</v>
      </c>
      <c r="H63" s="401">
        <f t="shared" si="11"/>
        <v>1011.58448934823</v>
      </c>
      <c r="I63" s="401">
        <f t="shared" si="6"/>
        <v>1340.19286728716</v>
      </c>
      <c r="J63" s="401">
        <f t="shared" si="7"/>
        <v>226568.847176804</v>
      </c>
    </row>
    <row r="64" spans="1:10">
      <c r="A64" s="388"/>
      <c r="B64" s="400">
        <v>46</v>
      </c>
      <c r="C64" s="401">
        <f t="shared" si="8"/>
        <v>666.666666666667</v>
      </c>
      <c r="D64" s="401">
        <f t="shared" si="9"/>
        <v>933.277777777778</v>
      </c>
      <c r="E64" s="401">
        <f t="shared" si="2"/>
        <v>1599.94444444444</v>
      </c>
      <c r="F64" s="401">
        <f t="shared" si="3"/>
        <v>209333.333333334</v>
      </c>
      <c r="G64" s="401">
        <f t="shared" si="10"/>
        <v>330.073423623907</v>
      </c>
      <c r="H64" s="401">
        <f t="shared" si="11"/>
        <v>1010.11944366325</v>
      </c>
      <c r="I64" s="401">
        <f t="shared" si="6"/>
        <v>1340.19286728716</v>
      </c>
      <c r="J64" s="401">
        <f t="shared" si="7"/>
        <v>226238.77375318</v>
      </c>
    </row>
    <row r="65" spans="1:10">
      <c r="A65" s="388"/>
      <c r="B65" s="400">
        <v>47</v>
      </c>
      <c r="C65" s="401">
        <f t="shared" si="8"/>
        <v>666.666666666667</v>
      </c>
      <c r="D65" s="401">
        <f t="shared" si="9"/>
        <v>930.305555555556</v>
      </c>
      <c r="E65" s="401">
        <f t="shared" si="2"/>
        <v>1596.97222222222</v>
      </c>
      <c r="F65" s="401">
        <f t="shared" si="3"/>
        <v>208666.666666667</v>
      </c>
      <c r="G65" s="401">
        <f t="shared" si="10"/>
        <v>331.545000970897</v>
      </c>
      <c r="H65" s="401">
        <f t="shared" si="11"/>
        <v>1008.64786631626</v>
      </c>
      <c r="I65" s="401">
        <f t="shared" si="6"/>
        <v>1340.19286728716</v>
      </c>
      <c r="J65" s="401">
        <f t="shared" si="7"/>
        <v>225907.228752209</v>
      </c>
    </row>
    <row r="66" spans="1:10">
      <c r="A66" s="388"/>
      <c r="B66" s="400">
        <v>48</v>
      </c>
      <c r="C66" s="401">
        <f t="shared" si="8"/>
        <v>666.666666666667</v>
      </c>
      <c r="D66" s="401">
        <f t="shared" si="9"/>
        <v>927.333333333333</v>
      </c>
      <c r="E66" s="401">
        <f t="shared" si="2"/>
        <v>1594</v>
      </c>
      <c r="F66" s="401">
        <f t="shared" si="3"/>
        <v>208000</v>
      </c>
      <c r="G66" s="401">
        <f t="shared" si="10"/>
        <v>333.023139100226</v>
      </c>
      <c r="H66" s="401">
        <f t="shared" si="11"/>
        <v>1007.16972818693</v>
      </c>
      <c r="I66" s="401">
        <f t="shared" si="6"/>
        <v>1340.19286728716</v>
      </c>
      <c r="J66" s="401">
        <f t="shared" si="7"/>
        <v>225574.205613109</v>
      </c>
    </row>
    <row r="67" spans="1:10">
      <c r="A67" s="388"/>
      <c r="B67" s="400">
        <v>49</v>
      </c>
      <c r="C67" s="401">
        <f t="shared" si="8"/>
        <v>666.666666666667</v>
      </c>
      <c r="D67" s="401">
        <f t="shared" si="9"/>
        <v>924.361111111111</v>
      </c>
      <c r="E67" s="401">
        <f t="shared" si="2"/>
        <v>1591.02777777778</v>
      </c>
      <c r="F67" s="401">
        <f t="shared" si="3"/>
        <v>207333.333333334</v>
      </c>
      <c r="G67" s="401">
        <f t="shared" si="10"/>
        <v>334.507867262048</v>
      </c>
      <c r="H67" s="401">
        <f t="shared" si="11"/>
        <v>1005.68500002511</v>
      </c>
      <c r="I67" s="401">
        <f t="shared" si="6"/>
        <v>1340.19286728716</v>
      </c>
      <c r="J67" s="401">
        <f t="shared" si="7"/>
        <v>225239.697745847</v>
      </c>
    </row>
    <row r="68" spans="1:10">
      <c r="A68" s="388"/>
      <c r="B68" s="400">
        <v>50</v>
      </c>
      <c r="C68" s="401">
        <f t="shared" si="8"/>
        <v>666.666666666667</v>
      </c>
      <c r="D68" s="401">
        <f t="shared" si="9"/>
        <v>921.388888888889</v>
      </c>
      <c r="E68" s="401">
        <f t="shared" si="2"/>
        <v>1588.05555555556</v>
      </c>
      <c r="F68" s="401">
        <f t="shared" si="3"/>
        <v>206666.666666667</v>
      </c>
      <c r="G68" s="401">
        <f t="shared" si="10"/>
        <v>335.999214836924</v>
      </c>
      <c r="H68" s="401">
        <f t="shared" si="11"/>
        <v>1004.19365245024</v>
      </c>
      <c r="I68" s="401">
        <f t="shared" si="6"/>
        <v>1340.19286728716</v>
      </c>
      <c r="J68" s="401">
        <f t="shared" si="7"/>
        <v>224903.69853101</v>
      </c>
    </row>
    <row r="69" spans="1:10">
      <c r="A69" s="388"/>
      <c r="B69" s="400">
        <v>51</v>
      </c>
      <c r="C69" s="401">
        <f t="shared" si="8"/>
        <v>666.666666666667</v>
      </c>
      <c r="D69" s="401">
        <f t="shared" si="9"/>
        <v>918.416666666667</v>
      </c>
      <c r="E69" s="401">
        <f t="shared" si="2"/>
        <v>1585.08333333333</v>
      </c>
      <c r="F69" s="401">
        <f t="shared" si="3"/>
        <v>206000</v>
      </c>
      <c r="G69" s="401">
        <f t="shared" si="10"/>
        <v>337.497211336405</v>
      </c>
      <c r="H69" s="401">
        <f t="shared" si="11"/>
        <v>1002.69565595075</v>
      </c>
      <c r="I69" s="401">
        <f t="shared" si="6"/>
        <v>1340.19286728716</v>
      </c>
      <c r="J69" s="401">
        <f t="shared" si="7"/>
        <v>224566.201319674</v>
      </c>
    </row>
    <row r="70" spans="1:10">
      <c r="A70" s="388"/>
      <c r="B70" s="400">
        <v>52</v>
      </c>
      <c r="C70" s="401">
        <f t="shared" si="8"/>
        <v>666.666666666667</v>
      </c>
      <c r="D70" s="401">
        <f t="shared" si="9"/>
        <v>915.444444444445</v>
      </c>
      <c r="E70" s="401">
        <f t="shared" si="2"/>
        <v>1582.11111111111</v>
      </c>
      <c r="F70" s="401">
        <f t="shared" si="3"/>
        <v>205333.333333334</v>
      </c>
      <c r="G70" s="401">
        <f t="shared" si="10"/>
        <v>339.001886403614</v>
      </c>
      <c r="H70" s="401">
        <f t="shared" si="11"/>
        <v>1001.19098088355</v>
      </c>
      <c r="I70" s="401">
        <f t="shared" si="6"/>
        <v>1340.19286728716</v>
      </c>
      <c r="J70" s="401">
        <f t="shared" si="7"/>
        <v>224227.19943327</v>
      </c>
    </row>
    <row r="71" spans="1:10">
      <c r="A71" s="388"/>
      <c r="B71" s="400">
        <v>53</v>
      </c>
      <c r="C71" s="401">
        <f t="shared" si="8"/>
        <v>666.666666666667</v>
      </c>
      <c r="D71" s="401">
        <f t="shared" si="9"/>
        <v>912.472222222222</v>
      </c>
      <c r="E71" s="401">
        <f t="shared" si="2"/>
        <v>1579.13888888889</v>
      </c>
      <c r="F71" s="401">
        <f t="shared" si="3"/>
        <v>204666.666666667</v>
      </c>
      <c r="G71" s="401">
        <f t="shared" si="10"/>
        <v>340.51326981383</v>
      </c>
      <c r="H71" s="401">
        <f t="shared" si="11"/>
        <v>999.679597473331</v>
      </c>
      <c r="I71" s="401">
        <f t="shared" si="6"/>
        <v>1340.19286728716</v>
      </c>
      <c r="J71" s="401">
        <f t="shared" si="7"/>
        <v>223886.686163456</v>
      </c>
    </row>
    <row r="72" spans="1:10">
      <c r="A72" s="388"/>
      <c r="B72" s="400">
        <v>54</v>
      </c>
      <c r="C72" s="401">
        <f t="shared" si="8"/>
        <v>666.666666666667</v>
      </c>
      <c r="D72" s="401">
        <f t="shared" si="9"/>
        <v>909.5</v>
      </c>
      <c r="E72" s="401">
        <f t="shared" si="2"/>
        <v>1576.16666666667</v>
      </c>
      <c r="F72" s="401">
        <f t="shared" si="3"/>
        <v>204000.000000001</v>
      </c>
      <c r="G72" s="401">
        <f t="shared" si="10"/>
        <v>342.031391475083</v>
      </c>
      <c r="H72" s="401">
        <f t="shared" si="11"/>
        <v>998.161475812077</v>
      </c>
      <c r="I72" s="401">
        <f t="shared" si="6"/>
        <v>1340.19286728716</v>
      </c>
      <c r="J72" s="401">
        <f t="shared" si="7"/>
        <v>223544.654771981</v>
      </c>
    </row>
    <row r="73" spans="1:10">
      <c r="A73" s="388"/>
      <c r="B73" s="400">
        <v>55</v>
      </c>
      <c r="C73" s="401">
        <f t="shared" si="8"/>
        <v>666.666666666667</v>
      </c>
      <c r="D73" s="401">
        <f t="shared" si="9"/>
        <v>906.527777777778</v>
      </c>
      <c r="E73" s="401">
        <f t="shared" si="2"/>
        <v>1573.19444444444</v>
      </c>
      <c r="F73" s="401">
        <f t="shared" si="3"/>
        <v>203333.333333334</v>
      </c>
      <c r="G73" s="401">
        <f t="shared" si="10"/>
        <v>343.556281428743</v>
      </c>
      <c r="H73" s="401">
        <f t="shared" si="11"/>
        <v>996.636585858418</v>
      </c>
      <c r="I73" s="401">
        <f t="shared" si="6"/>
        <v>1340.19286728716</v>
      </c>
      <c r="J73" s="401">
        <f t="shared" si="7"/>
        <v>223201.098490552</v>
      </c>
    </row>
    <row r="74" spans="1:10">
      <c r="A74" s="388"/>
      <c r="B74" s="400">
        <v>56</v>
      </c>
      <c r="C74" s="401">
        <f t="shared" si="8"/>
        <v>666.666666666667</v>
      </c>
      <c r="D74" s="401">
        <f t="shared" si="9"/>
        <v>903.555555555556</v>
      </c>
      <c r="E74" s="401">
        <f t="shared" si="2"/>
        <v>1570.22222222222</v>
      </c>
      <c r="F74" s="401">
        <f t="shared" si="3"/>
        <v>202666.666666667</v>
      </c>
      <c r="G74" s="401">
        <f t="shared" si="10"/>
        <v>345.087969850112</v>
      </c>
      <c r="H74" s="401">
        <f t="shared" si="11"/>
        <v>995.104897437048</v>
      </c>
      <c r="I74" s="401">
        <f t="shared" si="6"/>
        <v>1340.19286728716</v>
      </c>
      <c r="J74" s="401">
        <f t="shared" si="7"/>
        <v>222856.010520702</v>
      </c>
    </row>
    <row r="75" spans="1:10">
      <c r="A75" s="388"/>
      <c r="B75" s="400">
        <v>57</v>
      </c>
      <c r="C75" s="401">
        <f t="shared" si="8"/>
        <v>666.666666666667</v>
      </c>
      <c r="D75" s="401">
        <f t="shared" si="9"/>
        <v>900.583333333333</v>
      </c>
      <c r="E75" s="401">
        <f t="shared" si="2"/>
        <v>1567.25</v>
      </c>
      <c r="F75" s="401">
        <f t="shared" si="3"/>
        <v>202000.000000001</v>
      </c>
      <c r="G75" s="401">
        <f t="shared" si="10"/>
        <v>346.626487049028</v>
      </c>
      <c r="H75" s="401">
        <f t="shared" si="11"/>
        <v>993.566380238133</v>
      </c>
      <c r="I75" s="401">
        <f t="shared" si="6"/>
        <v>1340.19286728716</v>
      </c>
      <c r="J75" s="401">
        <f t="shared" si="7"/>
        <v>222509.384033653</v>
      </c>
    </row>
    <row r="76" spans="1:10">
      <c r="A76" s="388"/>
      <c r="B76" s="400">
        <v>58</v>
      </c>
      <c r="C76" s="401">
        <f t="shared" si="8"/>
        <v>666.666666666667</v>
      </c>
      <c r="D76" s="401">
        <f t="shared" si="9"/>
        <v>897.611111111111</v>
      </c>
      <c r="E76" s="401">
        <f t="shared" si="2"/>
        <v>1564.27777777778</v>
      </c>
      <c r="F76" s="401">
        <f t="shared" si="3"/>
        <v>201333.333333334</v>
      </c>
      <c r="G76" s="401">
        <f t="shared" si="10"/>
        <v>348.171863470454</v>
      </c>
      <c r="H76" s="401">
        <f t="shared" si="11"/>
        <v>992.021003816706</v>
      </c>
      <c r="I76" s="401">
        <f t="shared" si="6"/>
        <v>1340.19286728716</v>
      </c>
      <c r="J76" s="401">
        <f t="shared" si="7"/>
        <v>222161.212170183</v>
      </c>
    </row>
    <row r="77" spans="1:10">
      <c r="A77" s="388"/>
      <c r="B77" s="400">
        <v>59</v>
      </c>
      <c r="C77" s="401">
        <f t="shared" si="8"/>
        <v>666.666666666667</v>
      </c>
      <c r="D77" s="401">
        <f t="shared" si="9"/>
        <v>894.638888888889</v>
      </c>
      <c r="E77" s="401">
        <f t="shared" si="2"/>
        <v>1561.30555555556</v>
      </c>
      <c r="F77" s="401">
        <f t="shared" si="3"/>
        <v>200666.666666667</v>
      </c>
      <c r="G77" s="401">
        <f t="shared" si="10"/>
        <v>349.724129695093</v>
      </c>
      <c r="H77" s="401">
        <f t="shared" si="11"/>
        <v>990.468737592067</v>
      </c>
      <c r="I77" s="401">
        <f t="shared" si="6"/>
        <v>1340.19286728716</v>
      </c>
      <c r="J77" s="401">
        <f t="shared" si="7"/>
        <v>221811.488040488</v>
      </c>
    </row>
    <row r="78" spans="1:10">
      <c r="A78" s="388"/>
      <c r="B78" s="400">
        <v>60</v>
      </c>
      <c r="C78" s="401">
        <f t="shared" si="8"/>
        <v>666.666666666667</v>
      </c>
      <c r="D78" s="401">
        <f t="shared" si="9"/>
        <v>891.666666666667</v>
      </c>
      <c r="E78" s="401">
        <f t="shared" si="2"/>
        <v>1558.33333333333</v>
      </c>
      <c r="F78" s="401">
        <f t="shared" si="3"/>
        <v>200000.000000001</v>
      </c>
      <c r="G78" s="401">
        <f t="shared" si="10"/>
        <v>351.283316439984</v>
      </c>
      <c r="H78" s="401">
        <f t="shared" si="11"/>
        <v>988.909550847176</v>
      </c>
      <c r="I78" s="401">
        <f t="shared" si="6"/>
        <v>1340.19286728716</v>
      </c>
      <c r="J78" s="401">
        <f t="shared" si="7"/>
        <v>221460.204724048</v>
      </c>
    </row>
    <row r="79" spans="1:10">
      <c r="A79" s="388"/>
      <c r="B79" s="400">
        <v>61</v>
      </c>
      <c r="C79" s="401">
        <f t="shared" si="8"/>
        <v>666.666666666667</v>
      </c>
      <c r="D79" s="401">
        <f t="shared" si="9"/>
        <v>888.694444444444</v>
      </c>
      <c r="E79" s="401">
        <f t="shared" si="2"/>
        <v>1555.36111111111</v>
      </c>
      <c r="F79" s="401">
        <f t="shared" si="3"/>
        <v>199333.333333334</v>
      </c>
      <c r="G79" s="401">
        <f t="shared" si="10"/>
        <v>352.849454559112</v>
      </c>
      <c r="H79" s="401">
        <f t="shared" si="11"/>
        <v>987.343412728048</v>
      </c>
      <c r="I79" s="401">
        <f t="shared" si="6"/>
        <v>1340.19286728716</v>
      </c>
      <c r="J79" s="401">
        <f t="shared" si="7"/>
        <v>221107.355269489</v>
      </c>
    </row>
    <row r="80" spans="1:10">
      <c r="A80" s="388"/>
      <c r="B80" s="400">
        <v>62</v>
      </c>
      <c r="C80" s="401">
        <f t="shared" si="8"/>
        <v>666.666666666667</v>
      </c>
      <c r="D80" s="401">
        <f t="shared" si="9"/>
        <v>885.722222222222</v>
      </c>
      <c r="E80" s="401">
        <f t="shared" si="2"/>
        <v>1552.38888888889</v>
      </c>
      <c r="F80" s="401">
        <f t="shared" si="3"/>
        <v>198666.666666667</v>
      </c>
      <c r="G80" s="401">
        <f t="shared" si="10"/>
        <v>354.422575044022</v>
      </c>
      <c r="H80" s="401">
        <f t="shared" si="11"/>
        <v>985.770292243139</v>
      </c>
      <c r="I80" s="401">
        <f t="shared" si="6"/>
        <v>1340.19286728716</v>
      </c>
      <c r="J80" s="401">
        <f t="shared" si="7"/>
        <v>220752.932694445</v>
      </c>
    </row>
    <row r="81" spans="1:10">
      <c r="A81" s="388"/>
      <c r="B81" s="400">
        <v>63</v>
      </c>
      <c r="C81" s="401">
        <f t="shared" si="8"/>
        <v>666.666666666667</v>
      </c>
      <c r="D81" s="401">
        <f t="shared" si="9"/>
        <v>882.75</v>
      </c>
      <c r="E81" s="401">
        <f t="shared" si="2"/>
        <v>1549.41666666667</v>
      </c>
      <c r="F81" s="401">
        <f t="shared" si="3"/>
        <v>198000.000000001</v>
      </c>
      <c r="G81" s="401">
        <f t="shared" si="10"/>
        <v>356.002709024426</v>
      </c>
      <c r="H81" s="401">
        <f t="shared" si="11"/>
        <v>984.190158262734</v>
      </c>
      <c r="I81" s="401">
        <f t="shared" si="6"/>
        <v>1340.19286728716</v>
      </c>
      <c r="J81" s="401">
        <f t="shared" si="7"/>
        <v>220396.92998542</v>
      </c>
    </row>
    <row r="82" spans="1:10">
      <c r="A82" s="388"/>
      <c r="B82" s="400">
        <v>64</v>
      </c>
      <c r="C82" s="401">
        <f t="shared" si="8"/>
        <v>666.666666666667</v>
      </c>
      <c r="D82" s="401">
        <f t="shared" si="9"/>
        <v>879.777777777778</v>
      </c>
      <c r="E82" s="401">
        <f t="shared" si="2"/>
        <v>1546.44444444444</v>
      </c>
      <c r="F82" s="401">
        <f t="shared" si="3"/>
        <v>197333.333333334</v>
      </c>
      <c r="G82" s="401">
        <f t="shared" si="10"/>
        <v>357.589887768827</v>
      </c>
      <c r="H82" s="401">
        <f t="shared" si="11"/>
        <v>982.602979518334</v>
      </c>
      <c r="I82" s="401">
        <f t="shared" si="6"/>
        <v>1340.19286728716</v>
      </c>
      <c r="J82" s="401">
        <f t="shared" si="7"/>
        <v>220039.340097651</v>
      </c>
    </row>
    <row r="83" spans="1:10">
      <c r="A83" s="388"/>
      <c r="B83" s="400">
        <v>65</v>
      </c>
      <c r="C83" s="401">
        <f t="shared" ref="C83:C114" si="12">$I$3/($I$4*12)</f>
        <v>666.666666666667</v>
      </c>
      <c r="D83" s="401">
        <f t="shared" ref="D83:D114" si="13">ISPMT($I$5/12,B83,$I$4*12,-$I$3)</f>
        <v>876.805555555556</v>
      </c>
      <c r="E83" s="401">
        <f t="shared" ref="E83:E138" si="14">C83+D83</f>
        <v>1543.47222222222</v>
      </c>
      <c r="F83" s="401">
        <f t="shared" ref="F83:F138" si="15">F82-C83</f>
        <v>196666.666666667</v>
      </c>
      <c r="G83" s="401">
        <f t="shared" ref="G83:G114" si="16">PPMT($I$5/12,B83,$I$4*12,-$I$3)</f>
        <v>359.184142685129</v>
      </c>
      <c r="H83" s="401">
        <f t="shared" ref="H83:H114" si="17">IPMT($I$5/12,B83,$I$4*12,-$I$3)</f>
        <v>981.008724602031</v>
      </c>
      <c r="I83" s="401">
        <f t="shared" ref="I83:I138" si="18">G83+H83</f>
        <v>1340.19286728716</v>
      </c>
      <c r="J83" s="401">
        <f t="shared" ref="J83:J138" si="19">J82-G83</f>
        <v>219680.155954966</v>
      </c>
    </row>
    <row r="84" spans="1:10">
      <c r="A84" s="388"/>
      <c r="B84" s="400">
        <v>66</v>
      </c>
      <c r="C84" s="401">
        <f t="shared" si="12"/>
        <v>666.666666666667</v>
      </c>
      <c r="D84" s="401">
        <f t="shared" si="13"/>
        <v>873.833333333333</v>
      </c>
      <c r="E84" s="401">
        <f t="shared" si="14"/>
        <v>1540.5</v>
      </c>
      <c r="F84" s="401">
        <f t="shared" si="15"/>
        <v>196000.000000001</v>
      </c>
      <c r="G84" s="401">
        <f t="shared" si="16"/>
        <v>360.785505321267</v>
      </c>
      <c r="H84" s="401">
        <f t="shared" si="17"/>
        <v>979.407361965893</v>
      </c>
      <c r="I84" s="401">
        <f t="shared" si="18"/>
        <v>1340.19286728716</v>
      </c>
      <c r="J84" s="401">
        <f t="shared" si="19"/>
        <v>219319.370449645</v>
      </c>
    </row>
    <row r="85" spans="1:10">
      <c r="A85" s="388"/>
      <c r="B85" s="400">
        <v>67</v>
      </c>
      <c r="C85" s="401">
        <f t="shared" si="12"/>
        <v>666.666666666667</v>
      </c>
      <c r="D85" s="401">
        <f t="shared" si="13"/>
        <v>870.861111111111</v>
      </c>
      <c r="E85" s="401">
        <f t="shared" si="14"/>
        <v>1537.52777777778</v>
      </c>
      <c r="F85" s="401">
        <f t="shared" si="15"/>
        <v>195333.333333334</v>
      </c>
      <c r="G85" s="401">
        <f t="shared" si="16"/>
        <v>362.394007365824</v>
      </c>
      <c r="H85" s="401">
        <f t="shared" si="17"/>
        <v>977.798859921336</v>
      </c>
      <c r="I85" s="401">
        <f t="shared" si="18"/>
        <v>1340.19286728716</v>
      </c>
      <c r="J85" s="401">
        <f t="shared" si="19"/>
        <v>218956.976442279</v>
      </c>
    </row>
    <row r="86" spans="1:10">
      <c r="A86" s="388"/>
      <c r="B86" s="400">
        <v>68</v>
      </c>
      <c r="C86" s="401">
        <f t="shared" si="12"/>
        <v>666.666666666667</v>
      </c>
      <c r="D86" s="401">
        <f t="shared" si="13"/>
        <v>867.888888888889</v>
      </c>
      <c r="E86" s="401">
        <f t="shared" si="14"/>
        <v>1534.55555555556</v>
      </c>
      <c r="F86" s="401">
        <f t="shared" si="15"/>
        <v>194666.666666667</v>
      </c>
      <c r="G86" s="401">
        <f t="shared" si="16"/>
        <v>364.009680648664</v>
      </c>
      <c r="H86" s="401">
        <f t="shared" si="17"/>
        <v>976.183186638497</v>
      </c>
      <c r="I86" s="401">
        <f t="shared" si="18"/>
        <v>1340.19286728716</v>
      </c>
      <c r="J86" s="401">
        <f t="shared" si="19"/>
        <v>218592.96676163</v>
      </c>
    </row>
    <row r="87" spans="1:10">
      <c r="A87" s="388"/>
      <c r="B87" s="400">
        <v>69</v>
      </c>
      <c r="C87" s="401">
        <f t="shared" si="12"/>
        <v>666.666666666667</v>
      </c>
      <c r="D87" s="401">
        <f t="shared" si="13"/>
        <v>864.916666666667</v>
      </c>
      <c r="E87" s="401">
        <f t="shared" si="14"/>
        <v>1531.58333333333</v>
      </c>
      <c r="F87" s="401">
        <f t="shared" si="15"/>
        <v>194000.000000001</v>
      </c>
      <c r="G87" s="401">
        <f t="shared" si="16"/>
        <v>365.632557141556</v>
      </c>
      <c r="H87" s="401">
        <f t="shared" si="17"/>
        <v>974.560310145605</v>
      </c>
      <c r="I87" s="401">
        <f t="shared" si="18"/>
        <v>1340.19286728716</v>
      </c>
      <c r="J87" s="401">
        <f t="shared" si="19"/>
        <v>218227.334204489</v>
      </c>
    </row>
    <row r="88" spans="1:10">
      <c r="A88" s="388"/>
      <c r="B88" s="400">
        <v>70</v>
      </c>
      <c r="C88" s="401">
        <f t="shared" si="12"/>
        <v>666.666666666667</v>
      </c>
      <c r="D88" s="401">
        <f t="shared" si="13"/>
        <v>861.944444444444</v>
      </c>
      <c r="E88" s="401">
        <f t="shared" si="14"/>
        <v>1528.61111111111</v>
      </c>
      <c r="F88" s="401">
        <f t="shared" si="15"/>
        <v>193333.333333334</v>
      </c>
      <c r="G88" s="401">
        <f t="shared" si="16"/>
        <v>367.262668958812</v>
      </c>
      <c r="H88" s="401">
        <f t="shared" si="17"/>
        <v>972.930198328349</v>
      </c>
      <c r="I88" s="401">
        <f t="shared" si="18"/>
        <v>1340.19286728716</v>
      </c>
      <c r="J88" s="401">
        <f t="shared" si="19"/>
        <v>217860.07153553</v>
      </c>
    </row>
    <row r="89" spans="1:10">
      <c r="A89" s="388"/>
      <c r="B89" s="400">
        <v>71</v>
      </c>
      <c r="C89" s="401">
        <f t="shared" si="12"/>
        <v>666.666666666667</v>
      </c>
      <c r="D89" s="401">
        <f t="shared" si="13"/>
        <v>858.972222222222</v>
      </c>
      <c r="E89" s="401">
        <f t="shared" si="14"/>
        <v>1525.63888888889</v>
      </c>
      <c r="F89" s="401">
        <f t="shared" si="15"/>
        <v>192666.666666667</v>
      </c>
      <c r="G89" s="401">
        <f t="shared" si="16"/>
        <v>368.90004835792</v>
      </c>
      <c r="H89" s="401">
        <f t="shared" si="17"/>
        <v>971.292818929241</v>
      </c>
      <c r="I89" s="401">
        <f t="shared" si="18"/>
        <v>1340.19286728716</v>
      </c>
      <c r="J89" s="401">
        <f t="shared" si="19"/>
        <v>217491.171487172</v>
      </c>
    </row>
    <row r="90" spans="1:10">
      <c r="A90" s="388"/>
      <c r="B90" s="400">
        <v>72</v>
      </c>
      <c r="C90" s="401">
        <f t="shared" si="12"/>
        <v>666.666666666667</v>
      </c>
      <c r="D90" s="401">
        <f t="shared" si="13"/>
        <v>856</v>
      </c>
      <c r="E90" s="401">
        <f t="shared" si="14"/>
        <v>1522.66666666667</v>
      </c>
      <c r="F90" s="401">
        <f t="shared" si="15"/>
        <v>192000.000000001</v>
      </c>
      <c r="G90" s="401">
        <f t="shared" si="16"/>
        <v>370.544727740182</v>
      </c>
      <c r="H90" s="401">
        <f t="shared" si="17"/>
        <v>969.648139546978</v>
      </c>
      <c r="I90" s="401">
        <f t="shared" si="18"/>
        <v>1340.19286728716</v>
      </c>
      <c r="J90" s="401">
        <f t="shared" si="19"/>
        <v>217120.626759432</v>
      </c>
    </row>
    <row r="91" spans="1:10">
      <c r="A91" s="388"/>
      <c r="B91" s="400">
        <v>73</v>
      </c>
      <c r="C91" s="401">
        <f t="shared" si="12"/>
        <v>666.666666666667</v>
      </c>
      <c r="D91" s="401">
        <f t="shared" si="13"/>
        <v>853.027777777778</v>
      </c>
      <c r="E91" s="401">
        <f t="shared" si="14"/>
        <v>1519.69444444444</v>
      </c>
      <c r="F91" s="401">
        <f t="shared" si="15"/>
        <v>191333.333333334</v>
      </c>
      <c r="G91" s="401">
        <f t="shared" si="16"/>
        <v>372.196739651357</v>
      </c>
      <c r="H91" s="401">
        <f t="shared" si="17"/>
        <v>967.996127635803</v>
      </c>
      <c r="I91" s="401">
        <f t="shared" si="18"/>
        <v>1340.19286728716</v>
      </c>
      <c r="J91" s="401">
        <f t="shared" si="19"/>
        <v>216748.430019781</v>
      </c>
    </row>
    <row r="92" spans="1:10">
      <c r="A92" s="388"/>
      <c r="B92" s="400">
        <v>74</v>
      </c>
      <c r="C92" s="401">
        <f t="shared" si="12"/>
        <v>666.666666666667</v>
      </c>
      <c r="D92" s="401">
        <f t="shared" si="13"/>
        <v>850.055555555556</v>
      </c>
      <c r="E92" s="401">
        <f t="shared" si="14"/>
        <v>1516.72222222222</v>
      </c>
      <c r="F92" s="401">
        <f t="shared" si="15"/>
        <v>190666.666666667</v>
      </c>
      <c r="G92" s="401">
        <f t="shared" si="16"/>
        <v>373.856116782303</v>
      </c>
      <c r="H92" s="401">
        <f t="shared" si="17"/>
        <v>966.336750504858</v>
      </c>
      <c r="I92" s="401">
        <f t="shared" si="18"/>
        <v>1340.19286728716</v>
      </c>
      <c r="J92" s="401">
        <f t="shared" si="19"/>
        <v>216374.573902998</v>
      </c>
    </row>
    <row r="93" spans="1:10">
      <c r="A93" s="388"/>
      <c r="B93" s="400">
        <v>75</v>
      </c>
      <c r="C93" s="401">
        <f t="shared" si="12"/>
        <v>666.666666666667</v>
      </c>
      <c r="D93" s="401">
        <f t="shared" si="13"/>
        <v>847.083333333333</v>
      </c>
      <c r="E93" s="401">
        <f t="shared" si="14"/>
        <v>1513.75</v>
      </c>
      <c r="F93" s="401">
        <f t="shared" si="15"/>
        <v>190000.000000001</v>
      </c>
      <c r="G93" s="401">
        <f t="shared" si="16"/>
        <v>375.522891969624</v>
      </c>
      <c r="H93" s="401">
        <f t="shared" si="17"/>
        <v>964.669975317537</v>
      </c>
      <c r="I93" s="401">
        <f t="shared" si="18"/>
        <v>1340.19286728716</v>
      </c>
      <c r="J93" s="401">
        <f t="shared" si="19"/>
        <v>215999.051011029</v>
      </c>
    </row>
    <row r="94" spans="1:10">
      <c r="A94" s="388"/>
      <c r="B94" s="400">
        <v>76</v>
      </c>
      <c r="C94" s="401">
        <f t="shared" si="12"/>
        <v>666.666666666667</v>
      </c>
      <c r="D94" s="401">
        <f t="shared" si="13"/>
        <v>844.111111111111</v>
      </c>
      <c r="E94" s="401">
        <f t="shared" si="14"/>
        <v>1510.77777777778</v>
      </c>
      <c r="F94" s="401">
        <f t="shared" si="15"/>
        <v>189333.333333334</v>
      </c>
      <c r="G94" s="401">
        <f t="shared" si="16"/>
        <v>377.197098196322</v>
      </c>
      <c r="H94" s="401">
        <f t="shared" si="17"/>
        <v>962.995769090839</v>
      </c>
      <c r="I94" s="401">
        <f t="shared" si="18"/>
        <v>1340.19286728716</v>
      </c>
      <c r="J94" s="401">
        <f t="shared" si="19"/>
        <v>215621.853912832</v>
      </c>
    </row>
    <row r="95" spans="1:10">
      <c r="A95" s="388"/>
      <c r="B95" s="400">
        <v>77</v>
      </c>
      <c r="C95" s="401">
        <f t="shared" si="12"/>
        <v>666.666666666667</v>
      </c>
      <c r="D95" s="401">
        <f t="shared" si="13"/>
        <v>841.138888888889</v>
      </c>
      <c r="E95" s="401">
        <f t="shared" si="14"/>
        <v>1507.80555555556</v>
      </c>
      <c r="F95" s="401">
        <f t="shared" si="15"/>
        <v>188666.666666667</v>
      </c>
      <c r="G95" s="401">
        <f t="shared" si="16"/>
        <v>378.878768592447</v>
      </c>
      <c r="H95" s="401">
        <f t="shared" si="17"/>
        <v>961.314098694714</v>
      </c>
      <c r="I95" s="401">
        <f t="shared" si="18"/>
        <v>1340.19286728716</v>
      </c>
      <c r="J95" s="401">
        <f t="shared" si="19"/>
        <v>215242.97514424</v>
      </c>
    </row>
    <row r="96" spans="1:10">
      <c r="A96" s="388"/>
      <c r="B96" s="400">
        <v>78</v>
      </c>
      <c r="C96" s="401">
        <f t="shared" si="12"/>
        <v>666.666666666667</v>
      </c>
      <c r="D96" s="401">
        <f t="shared" si="13"/>
        <v>838.166666666667</v>
      </c>
      <c r="E96" s="401">
        <f t="shared" si="14"/>
        <v>1504.83333333333</v>
      </c>
      <c r="F96" s="401">
        <f t="shared" si="15"/>
        <v>188000.000000001</v>
      </c>
      <c r="G96" s="401">
        <f t="shared" si="16"/>
        <v>380.567936435755</v>
      </c>
      <c r="H96" s="401">
        <f t="shared" si="17"/>
        <v>959.624930851406</v>
      </c>
      <c r="I96" s="401">
        <f t="shared" si="18"/>
        <v>1340.19286728716</v>
      </c>
      <c r="J96" s="401">
        <f t="shared" si="19"/>
        <v>214862.407207804</v>
      </c>
    </row>
    <row r="97" spans="1:10">
      <c r="A97" s="388"/>
      <c r="B97" s="400">
        <v>79</v>
      </c>
      <c r="C97" s="401">
        <f t="shared" si="12"/>
        <v>666.666666666667</v>
      </c>
      <c r="D97" s="401">
        <f t="shared" si="13"/>
        <v>835.194444444444</v>
      </c>
      <c r="E97" s="401">
        <f t="shared" si="14"/>
        <v>1501.86111111111</v>
      </c>
      <c r="F97" s="401">
        <f t="shared" si="15"/>
        <v>187333.333333334</v>
      </c>
      <c r="G97" s="401">
        <f t="shared" si="16"/>
        <v>382.264635152364</v>
      </c>
      <c r="H97" s="401">
        <f t="shared" si="17"/>
        <v>957.928232134796</v>
      </c>
      <c r="I97" s="401">
        <f t="shared" si="18"/>
        <v>1340.19286728716</v>
      </c>
      <c r="J97" s="401">
        <f t="shared" si="19"/>
        <v>214480.142572652</v>
      </c>
    </row>
    <row r="98" spans="1:10">
      <c r="A98" s="388"/>
      <c r="B98" s="400">
        <v>80</v>
      </c>
      <c r="C98" s="401">
        <f t="shared" si="12"/>
        <v>666.666666666667</v>
      </c>
      <c r="D98" s="401">
        <f t="shared" si="13"/>
        <v>832.222222222222</v>
      </c>
      <c r="E98" s="401">
        <f t="shared" si="14"/>
        <v>1498.88888888889</v>
      </c>
      <c r="F98" s="401">
        <f t="shared" si="15"/>
        <v>186666.666666667</v>
      </c>
      <c r="G98" s="401">
        <f t="shared" si="16"/>
        <v>383.968898317418</v>
      </c>
      <c r="H98" s="401">
        <f t="shared" si="17"/>
        <v>956.223968969742</v>
      </c>
      <c r="I98" s="401">
        <f t="shared" si="18"/>
        <v>1340.19286728716</v>
      </c>
      <c r="J98" s="401">
        <f t="shared" si="19"/>
        <v>214096.173674334</v>
      </c>
    </row>
    <row r="99" spans="1:10">
      <c r="A99" s="388"/>
      <c r="B99" s="400">
        <v>81</v>
      </c>
      <c r="C99" s="401">
        <f t="shared" si="12"/>
        <v>666.666666666667</v>
      </c>
      <c r="D99" s="401">
        <f t="shared" si="13"/>
        <v>829.25</v>
      </c>
      <c r="E99" s="401">
        <f t="shared" si="14"/>
        <v>1495.91666666667</v>
      </c>
      <c r="F99" s="401">
        <f t="shared" si="15"/>
        <v>186000.000000001</v>
      </c>
      <c r="G99" s="401">
        <f t="shared" si="16"/>
        <v>385.68075965575</v>
      </c>
      <c r="H99" s="401">
        <f t="shared" si="17"/>
        <v>954.51210763141</v>
      </c>
      <c r="I99" s="401">
        <f t="shared" si="18"/>
        <v>1340.19286728716</v>
      </c>
      <c r="J99" s="401">
        <f t="shared" si="19"/>
        <v>213710.492914679</v>
      </c>
    </row>
    <row r="100" spans="1:10">
      <c r="A100" s="388"/>
      <c r="B100" s="400">
        <v>82</v>
      </c>
      <c r="C100" s="401">
        <f t="shared" si="12"/>
        <v>666.666666666667</v>
      </c>
      <c r="D100" s="401">
        <f t="shared" si="13"/>
        <v>826.277777777778</v>
      </c>
      <c r="E100" s="401">
        <f t="shared" si="14"/>
        <v>1492.94444444444</v>
      </c>
      <c r="F100" s="401">
        <f t="shared" si="15"/>
        <v>185333.333333334</v>
      </c>
      <c r="G100" s="401">
        <f t="shared" si="16"/>
        <v>387.400253042549</v>
      </c>
      <c r="H100" s="401">
        <f t="shared" si="17"/>
        <v>952.792614244612</v>
      </c>
      <c r="I100" s="401">
        <f t="shared" si="18"/>
        <v>1340.19286728716</v>
      </c>
      <c r="J100" s="401">
        <f t="shared" si="19"/>
        <v>213323.092661636</v>
      </c>
    </row>
    <row r="101" spans="1:10">
      <c r="A101" s="388"/>
      <c r="B101" s="400">
        <v>83</v>
      </c>
      <c r="C101" s="401">
        <f t="shared" si="12"/>
        <v>666.666666666667</v>
      </c>
      <c r="D101" s="401">
        <f t="shared" si="13"/>
        <v>823.305555555555</v>
      </c>
      <c r="E101" s="401">
        <f t="shared" si="14"/>
        <v>1489.97222222222</v>
      </c>
      <c r="F101" s="401">
        <f t="shared" si="15"/>
        <v>184666.666666667</v>
      </c>
      <c r="G101" s="401">
        <f t="shared" si="16"/>
        <v>389.12741250403</v>
      </c>
      <c r="H101" s="401">
        <f t="shared" si="17"/>
        <v>951.06545478313</v>
      </c>
      <c r="I101" s="401">
        <f t="shared" si="18"/>
        <v>1340.19286728716</v>
      </c>
      <c r="J101" s="401">
        <f t="shared" si="19"/>
        <v>212933.965249132</v>
      </c>
    </row>
    <row r="102" spans="1:10">
      <c r="A102" s="388"/>
      <c r="B102" s="400">
        <v>84</v>
      </c>
      <c r="C102" s="401">
        <f t="shared" si="12"/>
        <v>666.666666666667</v>
      </c>
      <c r="D102" s="401">
        <f t="shared" si="13"/>
        <v>820.333333333333</v>
      </c>
      <c r="E102" s="401">
        <f t="shared" si="14"/>
        <v>1487</v>
      </c>
      <c r="F102" s="401">
        <f t="shared" si="15"/>
        <v>184000.000000001</v>
      </c>
      <c r="G102" s="401">
        <f t="shared" si="16"/>
        <v>390.86227221811</v>
      </c>
      <c r="H102" s="401">
        <f t="shared" si="17"/>
        <v>949.33059506905</v>
      </c>
      <c r="I102" s="401">
        <f t="shared" si="18"/>
        <v>1340.19286728716</v>
      </c>
      <c r="J102" s="401">
        <f t="shared" si="19"/>
        <v>212543.102976914</v>
      </c>
    </row>
    <row r="103" spans="1:10">
      <c r="A103" s="388"/>
      <c r="B103" s="400">
        <v>85</v>
      </c>
      <c r="C103" s="401">
        <f t="shared" si="12"/>
        <v>666.666666666667</v>
      </c>
      <c r="D103" s="401">
        <f t="shared" si="13"/>
        <v>817.361111111111</v>
      </c>
      <c r="E103" s="401">
        <f t="shared" si="14"/>
        <v>1484.02777777778</v>
      </c>
      <c r="F103" s="401">
        <f t="shared" si="15"/>
        <v>183333.333333334</v>
      </c>
      <c r="G103" s="401">
        <f t="shared" si="16"/>
        <v>392.604866515083</v>
      </c>
      <c r="H103" s="401">
        <f t="shared" si="17"/>
        <v>947.588000772078</v>
      </c>
      <c r="I103" s="401">
        <f t="shared" si="18"/>
        <v>1340.19286728716</v>
      </c>
      <c r="J103" s="401">
        <f t="shared" si="19"/>
        <v>212150.498110399</v>
      </c>
    </row>
    <row r="104" spans="1:10">
      <c r="A104" s="388"/>
      <c r="B104" s="400">
        <v>86</v>
      </c>
      <c r="C104" s="401">
        <f t="shared" si="12"/>
        <v>666.666666666667</v>
      </c>
      <c r="D104" s="401">
        <f t="shared" si="13"/>
        <v>814.388888888889</v>
      </c>
      <c r="E104" s="401">
        <f t="shared" si="14"/>
        <v>1481.05555555556</v>
      </c>
      <c r="F104" s="401">
        <f t="shared" si="15"/>
        <v>182666.666666668</v>
      </c>
      <c r="G104" s="401">
        <f t="shared" si="16"/>
        <v>394.355229878296</v>
      </c>
      <c r="H104" s="401">
        <f t="shared" si="17"/>
        <v>945.837637408865</v>
      </c>
      <c r="I104" s="401">
        <f t="shared" si="18"/>
        <v>1340.19286728716</v>
      </c>
      <c r="J104" s="401">
        <f t="shared" si="19"/>
        <v>211756.142880521</v>
      </c>
    </row>
    <row r="105" spans="1:10">
      <c r="A105" s="388"/>
      <c r="B105" s="400">
        <v>87</v>
      </c>
      <c r="C105" s="401">
        <f t="shared" si="12"/>
        <v>666.666666666667</v>
      </c>
      <c r="D105" s="401">
        <f t="shared" si="13"/>
        <v>811.416666666667</v>
      </c>
      <c r="E105" s="401">
        <f t="shared" si="14"/>
        <v>1478.08333333333</v>
      </c>
      <c r="F105" s="401">
        <f t="shared" si="15"/>
        <v>182000.000000001</v>
      </c>
      <c r="G105" s="401">
        <f t="shared" si="16"/>
        <v>396.113396944836</v>
      </c>
      <c r="H105" s="401">
        <f t="shared" si="17"/>
        <v>944.079470342324</v>
      </c>
      <c r="I105" s="401">
        <f t="shared" si="18"/>
        <v>1340.19286728716</v>
      </c>
      <c r="J105" s="401">
        <f t="shared" si="19"/>
        <v>211360.029483576</v>
      </c>
    </row>
    <row r="106" spans="1:10">
      <c r="A106" s="388"/>
      <c r="B106" s="400">
        <v>88</v>
      </c>
      <c r="C106" s="401">
        <f t="shared" si="12"/>
        <v>666.666666666667</v>
      </c>
      <c r="D106" s="401">
        <f t="shared" si="13"/>
        <v>808.444444444444</v>
      </c>
      <c r="E106" s="401">
        <f t="shared" si="14"/>
        <v>1475.11111111111</v>
      </c>
      <c r="F106" s="401">
        <f t="shared" si="15"/>
        <v>181333.333333334</v>
      </c>
      <c r="G106" s="401">
        <f t="shared" si="16"/>
        <v>397.879402506216</v>
      </c>
      <c r="H106" s="401">
        <f t="shared" si="17"/>
        <v>942.313464780945</v>
      </c>
      <c r="I106" s="401">
        <f t="shared" si="18"/>
        <v>1340.19286728716</v>
      </c>
      <c r="J106" s="401">
        <f t="shared" si="19"/>
        <v>210962.15008107</v>
      </c>
    </row>
    <row r="107" spans="1:10">
      <c r="A107" s="388"/>
      <c r="B107" s="400">
        <v>89</v>
      </c>
      <c r="C107" s="401">
        <f t="shared" si="12"/>
        <v>666.666666666667</v>
      </c>
      <c r="D107" s="401">
        <f t="shared" si="13"/>
        <v>805.472222222222</v>
      </c>
      <c r="E107" s="401">
        <f t="shared" si="14"/>
        <v>1472.13888888889</v>
      </c>
      <c r="F107" s="401">
        <f t="shared" si="15"/>
        <v>180666.666666668</v>
      </c>
      <c r="G107" s="401">
        <f t="shared" si="16"/>
        <v>399.653281509056</v>
      </c>
      <c r="H107" s="401">
        <f t="shared" si="17"/>
        <v>940.539585778105</v>
      </c>
      <c r="I107" s="401">
        <f t="shared" si="18"/>
        <v>1340.19286728716</v>
      </c>
      <c r="J107" s="401">
        <f t="shared" si="19"/>
        <v>210562.496799561</v>
      </c>
    </row>
    <row r="108" spans="1:10">
      <c r="A108" s="388"/>
      <c r="B108" s="400">
        <v>90</v>
      </c>
      <c r="C108" s="401">
        <f t="shared" si="12"/>
        <v>666.666666666667</v>
      </c>
      <c r="D108" s="401">
        <f t="shared" si="13"/>
        <v>802.5</v>
      </c>
      <c r="E108" s="401">
        <f t="shared" si="14"/>
        <v>1469.16666666667</v>
      </c>
      <c r="F108" s="401">
        <f t="shared" si="15"/>
        <v>180000.000000001</v>
      </c>
      <c r="G108" s="401">
        <f t="shared" si="16"/>
        <v>401.435069055784</v>
      </c>
      <c r="H108" s="401">
        <f t="shared" si="17"/>
        <v>938.757798231377</v>
      </c>
      <c r="I108" s="401">
        <f t="shared" si="18"/>
        <v>1340.19286728716</v>
      </c>
      <c r="J108" s="401">
        <f t="shared" si="19"/>
        <v>210161.061730505</v>
      </c>
    </row>
    <row r="109" spans="1:10">
      <c r="A109" s="388"/>
      <c r="B109" s="400">
        <v>91</v>
      </c>
      <c r="C109" s="401">
        <f t="shared" si="12"/>
        <v>666.666666666667</v>
      </c>
      <c r="D109" s="401">
        <f t="shared" si="13"/>
        <v>799.527777777778</v>
      </c>
      <c r="E109" s="401">
        <f t="shared" si="14"/>
        <v>1466.19444444444</v>
      </c>
      <c r="F109" s="401">
        <f t="shared" si="15"/>
        <v>179333.333333334</v>
      </c>
      <c r="G109" s="401">
        <f t="shared" si="16"/>
        <v>403.224800405324</v>
      </c>
      <c r="H109" s="401">
        <f t="shared" si="17"/>
        <v>936.968066881837</v>
      </c>
      <c r="I109" s="401">
        <f t="shared" si="18"/>
        <v>1340.19286728716</v>
      </c>
      <c r="J109" s="401">
        <f t="shared" si="19"/>
        <v>209757.836930099</v>
      </c>
    </row>
    <row r="110" spans="1:10">
      <c r="A110" s="388"/>
      <c r="B110" s="400">
        <v>92</v>
      </c>
      <c r="C110" s="401">
        <f t="shared" si="12"/>
        <v>666.666666666667</v>
      </c>
      <c r="D110" s="401">
        <f t="shared" si="13"/>
        <v>796.555555555556</v>
      </c>
      <c r="E110" s="401">
        <f t="shared" si="14"/>
        <v>1463.22222222222</v>
      </c>
      <c r="F110" s="401">
        <f t="shared" si="15"/>
        <v>178666.666666668</v>
      </c>
      <c r="G110" s="401">
        <f t="shared" si="16"/>
        <v>405.022510973797</v>
      </c>
      <c r="H110" s="401">
        <f t="shared" si="17"/>
        <v>935.170356313363</v>
      </c>
      <c r="I110" s="401">
        <f t="shared" si="18"/>
        <v>1340.19286728716</v>
      </c>
      <c r="J110" s="401">
        <f t="shared" si="19"/>
        <v>209352.814419126</v>
      </c>
    </row>
    <row r="111" spans="1:10">
      <c r="A111" s="388"/>
      <c r="B111" s="400">
        <v>93</v>
      </c>
      <c r="C111" s="401">
        <f t="shared" si="12"/>
        <v>666.666666666667</v>
      </c>
      <c r="D111" s="401">
        <f t="shared" si="13"/>
        <v>793.583333333333</v>
      </c>
      <c r="E111" s="401">
        <f t="shared" si="14"/>
        <v>1460.25</v>
      </c>
      <c r="F111" s="401">
        <f t="shared" si="15"/>
        <v>178000.000000001</v>
      </c>
      <c r="G111" s="401">
        <f t="shared" si="16"/>
        <v>406.828236335222</v>
      </c>
      <c r="H111" s="401">
        <f t="shared" si="17"/>
        <v>933.364630951938</v>
      </c>
      <c r="I111" s="401">
        <f t="shared" si="18"/>
        <v>1340.19286728716</v>
      </c>
      <c r="J111" s="401">
        <f t="shared" si="19"/>
        <v>208945.98618279</v>
      </c>
    </row>
    <row r="112" spans="1:10">
      <c r="A112" s="388"/>
      <c r="B112" s="400">
        <v>94</v>
      </c>
      <c r="C112" s="401">
        <f t="shared" si="12"/>
        <v>666.666666666667</v>
      </c>
      <c r="D112" s="401">
        <f t="shared" si="13"/>
        <v>790.611111111111</v>
      </c>
      <c r="E112" s="401">
        <f t="shared" si="14"/>
        <v>1457.27777777778</v>
      </c>
      <c r="F112" s="401">
        <f t="shared" si="15"/>
        <v>177333.333333334</v>
      </c>
      <c r="G112" s="401">
        <f t="shared" si="16"/>
        <v>408.642012222217</v>
      </c>
      <c r="H112" s="401">
        <f t="shared" si="17"/>
        <v>931.550855064944</v>
      </c>
      <c r="I112" s="401">
        <f t="shared" si="18"/>
        <v>1340.19286728716</v>
      </c>
      <c r="J112" s="401">
        <f t="shared" si="19"/>
        <v>208537.344170568</v>
      </c>
    </row>
    <row r="113" spans="1:10">
      <c r="A113" s="388"/>
      <c r="B113" s="400">
        <v>95</v>
      </c>
      <c r="C113" s="401">
        <f t="shared" si="12"/>
        <v>666.666666666667</v>
      </c>
      <c r="D113" s="401">
        <f t="shared" si="13"/>
        <v>787.638888888889</v>
      </c>
      <c r="E113" s="401">
        <f t="shared" si="14"/>
        <v>1454.30555555556</v>
      </c>
      <c r="F113" s="401">
        <f t="shared" si="15"/>
        <v>176666.666666668</v>
      </c>
      <c r="G113" s="401">
        <f t="shared" si="16"/>
        <v>410.463874526707</v>
      </c>
      <c r="H113" s="401">
        <f t="shared" si="17"/>
        <v>929.728992760453</v>
      </c>
      <c r="I113" s="401">
        <f t="shared" si="18"/>
        <v>1340.19286728716</v>
      </c>
      <c r="J113" s="401">
        <f t="shared" si="19"/>
        <v>208126.880296041</v>
      </c>
    </row>
    <row r="114" spans="1:10">
      <c r="A114" s="388"/>
      <c r="B114" s="400">
        <v>96</v>
      </c>
      <c r="C114" s="401">
        <f t="shared" si="12"/>
        <v>666.666666666667</v>
      </c>
      <c r="D114" s="401">
        <f t="shared" si="13"/>
        <v>784.666666666667</v>
      </c>
      <c r="E114" s="401">
        <f t="shared" si="14"/>
        <v>1451.33333333333</v>
      </c>
      <c r="F114" s="401">
        <f t="shared" si="15"/>
        <v>176000.000000001</v>
      </c>
      <c r="G114" s="401">
        <f t="shared" si="16"/>
        <v>412.293859300639</v>
      </c>
      <c r="H114" s="401">
        <f t="shared" si="17"/>
        <v>927.899007986521</v>
      </c>
      <c r="I114" s="401">
        <f t="shared" si="18"/>
        <v>1340.19286728716</v>
      </c>
      <c r="J114" s="401">
        <f t="shared" si="19"/>
        <v>207714.586436741</v>
      </c>
    </row>
    <row r="115" spans="1:10">
      <c r="A115" s="388"/>
      <c r="B115" s="400">
        <v>97</v>
      </c>
      <c r="C115" s="401">
        <f t="shared" ref="C115:C138" si="20">$I$3/($I$4*12)</f>
        <v>666.666666666667</v>
      </c>
      <c r="D115" s="401">
        <f t="shared" ref="D115:D138" si="21">ISPMT($I$5/12,B115,$I$4*12,-$I$3)</f>
        <v>781.694444444445</v>
      </c>
      <c r="E115" s="401">
        <f t="shared" si="14"/>
        <v>1448.36111111111</v>
      </c>
      <c r="F115" s="401">
        <f t="shared" si="15"/>
        <v>175333.333333334</v>
      </c>
      <c r="G115" s="401">
        <f t="shared" ref="G115:G138" si="22">PPMT($I$5/12,B115,$I$4*12,-$I$3)</f>
        <v>414.132002756688</v>
      </c>
      <c r="H115" s="401">
        <f t="shared" ref="H115:H138" si="23">IPMT($I$5/12,B115,$I$4*12,-$I$3)</f>
        <v>926.060864530473</v>
      </c>
      <c r="I115" s="401">
        <f t="shared" si="18"/>
        <v>1340.19286728716</v>
      </c>
      <c r="J115" s="401">
        <f t="shared" si="19"/>
        <v>207300.454433984</v>
      </c>
    </row>
    <row r="116" spans="1:10">
      <c r="A116" s="388"/>
      <c r="B116" s="400">
        <v>98</v>
      </c>
      <c r="C116" s="401">
        <f t="shared" si="20"/>
        <v>666.666666666667</v>
      </c>
      <c r="D116" s="401">
        <f t="shared" si="21"/>
        <v>778.722222222222</v>
      </c>
      <c r="E116" s="401">
        <f t="shared" si="14"/>
        <v>1445.38888888889</v>
      </c>
      <c r="F116" s="401">
        <f t="shared" si="15"/>
        <v>174666.666666668</v>
      </c>
      <c r="G116" s="401">
        <f t="shared" si="22"/>
        <v>415.978341268978</v>
      </c>
      <c r="H116" s="401">
        <f t="shared" si="23"/>
        <v>924.214526018183</v>
      </c>
      <c r="I116" s="401">
        <f t="shared" si="18"/>
        <v>1340.19286728716</v>
      </c>
      <c r="J116" s="401">
        <f t="shared" si="19"/>
        <v>206884.476092715</v>
      </c>
    </row>
    <row r="117" spans="1:10">
      <c r="A117" s="388"/>
      <c r="B117" s="400">
        <v>99</v>
      </c>
      <c r="C117" s="401">
        <f t="shared" si="20"/>
        <v>666.666666666667</v>
      </c>
      <c r="D117" s="401">
        <f t="shared" si="21"/>
        <v>775.75</v>
      </c>
      <c r="E117" s="401">
        <f t="shared" si="14"/>
        <v>1442.41666666667</v>
      </c>
      <c r="F117" s="401">
        <f t="shared" si="15"/>
        <v>174000.000000001</v>
      </c>
      <c r="G117" s="401">
        <f t="shared" si="22"/>
        <v>417.832911373802</v>
      </c>
      <c r="H117" s="401">
        <f t="shared" si="23"/>
        <v>922.359955913358</v>
      </c>
      <c r="I117" s="401">
        <f t="shared" si="18"/>
        <v>1340.19286728716</v>
      </c>
      <c r="J117" s="401">
        <f t="shared" si="19"/>
        <v>206466.643181341</v>
      </c>
    </row>
    <row r="118" spans="1:10">
      <c r="A118" s="388"/>
      <c r="B118" s="400">
        <v>100</v>
      </c>
      <c r="C118" s="401">
        <f t="shared" si="20"/>
        <v>666.666666666667</v>
      </c>
      <c r="D118" s="401">
        <f t="shared" si="21"/>
        <v>772.777777777778</v>
      </c>
      <c r="E118" s="401">
        <f t="shared" si="14"/>
        <v>1439.44444444444</v>
      </c>
      <c r="F118" s="401">
        <f t="shared" si="15"/>
        <v>173333.333333334</v>
      </c>
      <c r="G118" s="401">
        <f t="shared" si="22"/>
        <v>419.695749770343</v>
      </c>
      <c r="H118" s="401">
        <f t="shared" si="23"/>
        <v>920.497117516817</v>
      </c>
      <c r="I118" s="401">
        <f t="shared" si="18"/>
        <v>1340.19286728716</v>
      </c>
      <c r="J118" s="401">
        <f t="shared" si="19"/>
        <v>206046.947431571</v>
      </c>
    </row>
    <row r="119" spans="1:10">
      <c r="A119" s="388"/>
      <c r="B119" s="400">
        <v>101</v>
      </c>
      <c r="C119" s="401">
        <f t="shared" si="20"/>
        <v>666.666666666667</v>
      </c>
      <c r="D119" s="401">
        <f t="shared" si="21"/>
        <v>769.805555555556</v>
      </c>
      <c r="E119" s="401">
        <f t="shared" si="14"/>
        <v>1436.47222222222</v>
      </c>
      <c r="F119" s="401">
        <f t="shared" si="15"/>
        <v>172666.666666668</v>
      </c>
      <c r="G119" s="401">
        <f t="shared" si="22"/>
        <v>421.566893321403</v>
      </c>
      <c r="H119" s="401">
        <f t="shared" si="23"/>
        <v>918.625973965758</v>
      </c>
      <c r="I119" s="401">
        <f t="shared" si="18"/>
        <v>1340.19286728716</v>
      </c>
      <c r="J119" s="401">
        <f t="shared" si="19"/>
        <v>205625.38053825</v>
      </c>
    </row>
    <row r="120" spans="1:10">
      <c r="A120" s="388"/>
      <c r="B120" s="400">
        <v>102</v>
      </c>
      <c r="C120" s="401">
        <f t="shared" si="20"/>
        <v>666.666666666667</v>
      </c>
      <c r="D120" s="401">
        <f t="shared" si="21"/>
        <v>766.833333333333</v>
      </c>
      <c r="E120" s="401">
        <f t="shared" si="14"/>
        <v>1433.5</v>
      </c>
      <c r="F120" s="401">
        <f t="shared" si="15"/>
        <v>172000.000000001</v>
      </c>
      <c r="G120" s="401">
        <f t="shared" si="22"/>
        <v>423.446379054128</v>
      </c>
      <c r="H120" s="401">
        <f t="shared" si="23"/>
        <v>916.746488233033</v>
      </c>
      <c r="I120" s="401">
        <f t="shared" si="18"/>
        <v>1340.19286728716</v>
      </c>
      <c r="J120" s="401">
        <f t="shared" si="19"/>
        <v>205201.934159195</v>
      </c>
    </row>
    <row r="121" spans="1:10">
      <c r="A121" s="388"/>
      <c r="B121" s="400">
        <v>103</v>
      </c>
      <c r="C121" s="401">
        <f t="shared" si="20"/>
        <v>666.666666666667</v>
      </c>
      <c r="D121" s="401">
        <f t="shared" si="21"/>
        <v>763.861111111111</v>
      </c>
      <c r="E121" s="401">
        <f t="shared" si="14"/>
        <v>1430.52777777778</v>
      </c>
      <c r="F121" s="401">
        <f t="shared" si="15"/>
        <v>171333.333333334</v>
      </c>
      <c r="G121" s="401">
        <f t="shared" si="22"/>
        <v>425.334244160744</v>
      </c>
      <c r="H121" s="401">
        <f t="shared" si="23"/>
        <v>914.858623126417</v>
      </c>
      <c r="I121" s="401">
        <f t="shared" si="18"/>
        <v>1340.19286728716</v>
      </c>
      <c r="J121" s="401">
        <f t="shared" si="19"/>
        <v>204776.599915035</v>
      </c>
    </row>
    <row r="122" spans="1:10">
      <c r="A122" s="388"/>
      <c r="B122" s="400">
        <v>104</v>
      </c>
      <c r="C122" s="401">
        <f t="shared" si="20"/>
        <v>666.666666666667</v>
      </c>
      <c r="D122" s="401">
        <f t="shared" si="21"/>
        <v>760.888888888889</v>
      </c>
      <c r="E122" s="401">
        <f t="shared" si="14"/>
        <v>1427.55555555556</v>
      </c>
      <c r="F122" s="401">
        <f t="shared" si="15"/>
        <v>170666.666666668</v>
      </c>
      <c r="G122" s="401">
        <f t="shared" si="22"/>
        <v>427.230525999294</v>
      </c>
      <c r="H122" s="401">
        <f t="shared" si="23"/>
        <v>912.962341287867</v>
      </c>
      <c r="I122" s="401">
        <f t="shared" si="18"/>
        <v>1340.19286728716</v>
      </c>
      <c r="J122" s="401">
        <f t="shared" si="19"/>
        <v>204349.369389035</v>
      </c>
    </row>
    <row r="123" spans="1:10">
      <c r="A123" s="388"/>
      <c r="B123" s="400">
        <v>105</v>
      </c>
      <c r="C123" s="401">
        <f t="shared" si="20"/>
        <v>666.666666666667</v>
      </c>
      <c r="D123" s="401">
        <f t="shared" si="21"/>
        <v>757.916666666667</v>
      </c>
      <c r="E123" s="401">
        <f t="shared" si="14"/>
        <v>1424.58333333333</v>
      </c>
      <c r="F123" s="401">
        <f t="shared" si="15"/>
        <v>170000.000000001</v>
      </c>
      <c r="G123" s="401">
        <f t="shared" si="22"/>
        <v>429.135262094374</v>
      </c>
      <c r="H123" s="401">
        <f t="shared" si="23"/>
        <v>911.057605192787</v>
      </c>
      <c r="I123" s="401">
        <f t="shared" si="18"/>
        <v>1340.19286728716</v>
      </c>
      <c r="J123" s="401">
        <f t="shared" si="19"/>
        <v>203920.234126941</v>
      </c>
    </row>
    <row r="124" spans="1:10">
      <c r="A124" s="388"/>
      <c r="B124" s="400">
        <v>106</v>
      </c>
      <c r="C124" s="401">
        <f t="shared" si="20"/>
        <v>666.666666666667</v>
      </c>
      <c r="D124" s="401">
        <f t="shared" si="21"/>
        <v>754.944444444444</v>
      </c>
      <c r="E124" s="401">
        <f t="shared" si="14"/>
        <v>1421.61111111111</v>
      </c>
      <c r="F124" s="401">
        <f t="shared" si="15"/>
        <v>169333.333333334</v>
      </c>
      <c r="G124" s="401">
        <f t="shared" si="22"/>
        <v>431.048490137878</v>
      </c>
      <c r="H124" s="401">
        <f t="shared" si="23"/>
        <v>909.144377149282</v>
      </c>
      <c r="I124" s="401">
        <f t="shared" si="18"/>
        <v>1340.19286728716</v>
      </c>
      <c r="J124" s="401">
        <f t="shared" si="19"/>
        <v>203489.185636803</v>
      </c>
    </row>
    <row r="125" spans="1:10">
      <c r="A125" s="388"/>
      <c r="B125" s="400">
        <v>107</v>
      </c>
      <c r="C125" s="401">
        <f t="shared" si="20"/>
        <v>666.666666666667</v>
      </c>
      <c r="D125" s="401">
        <f t="shared" si="21"/>
        <v>751.972222222222</v>
      </c>
      <c r="E125" s="401">
        <f t="shared" si="14"/>
        <v>1418.63888888889</v>
      </c>
      <c r="F125" s="401">
        <f t="shared" si="15"/>
        <v>168666.666666668</v>
      </c>
      <c r="G125" s="401">
        <f t="shared" si="22"/>
        <v>432.970247989742</v>
      </c>
      <c r="H125" s="401">
        <f t="shared" si="23"/>
        <v>907.222619297418</v>
      </c>
      <c r="I125" s="401">
        <f t="shared" si="18"/>
        <v>1340.19286728716</v>
      </c>
      <c r="J125" s="401">
        <f t="shared" si="19"/>
        <v>203056.215388813</v>
      </c>
    </row>
    <row r="126" spans="1:10">
      <c r="A126" s="388"/>
      <c r="B126" s="400">
        <v>108</v>
      </c>
      <c r="C126" s="401">
        <f t="shared" si="20"/>
        <v>666.666666666667</v>
      </c>
      <c r="D126" s="401">
        <f t="shared" si="21"/>
        <v>749</v>
      </c>
      <c r="E126" s="401">
        <f t="shared" si="14"/>
        <v>1415.66666666667</v>
      </c>
      <c r="F126" s="401">
        <f t="shared" si="15"/>
        <v>168000.000000001</v>
      </c>
      <c r="G126" s="401">
        <f t="shared" si="22"/>
        <v>434.900573678697</v>
      </c>
      <c r="H126" s="401">
        <f t="shared" si="23"/>
        <v>905.292293608464</v>
      </c>
      <c r="I126" s="401">
        <f t="shared" si="18"/>
        <v>1340.19286728716</v>
      </c>
      <c r="J126" s="401">
        <f t="shared" si="19"/>
        <v>202621.314815135</v>
      </c>
    </row>
    <row r="127" spans="1:10">
      <c r="A127" s="388"/>
      <c r="B127" s="400">
        <v>109</v>
      </c>
      <c r="C127" s="401">
        <f t="shared" si="20"/>
        <v>666.666666666667</v>
      </c>
      <c r="D127" s="401">
        <f t="shared" si="21"/>
        <v>746.027777777778</v>
      </c>
      <c r="E127" s="401">
        <f t="shared" si="14"/>
        <v>1412.69444444444</v>
      </c>
      <c r="F127" s="401">
        <f t="shared" si="15"/>
        <v>167333.333333334</v>
      </c>
      <c r="G127" s="401">
        <f t="shared" si="22"/>
        <v>436.839505403014</v>
      </c>
      <c r="H127" s="401">
        <f t="shared" si="23"/>
        <v>903.353361884146</v>
      </c>
      <c r="I127" s="401">
        <f t="shared" si="18"/>
        <v>1340.19286728716</v>
      </c>
      <c r="J127" s="401">
        <f t="shared" si="19"/>
        <v>202184.475309732</v>
      </c>
    </row>
    <row r="128" spans="1:10">
      <c r="A128" s="388"/>
      <c r="B128" s="400">
        <v>110</v>
      </c>
      <c r="C128" s="401">
        <f t="shared" si="20"/>
        <v>666.666666666667</v>
      </c>
      <c r="D128" s="401">
        <f t="shared" si="21"/>
        <v>743.055555555556</v>
      </c>
      <c r="E128" s="401">
        <f t="shared" si="14"/>
        <v>1409.72222222222</v>
      </c>
      <c r="F128" s="401">
        <f t="shared" si="15"/>
        <v>166666.666666668</v>
      </c>
      <c r="G128" s="401">
        <f t="shared" si="22"/>
        <v>438.787081531269</v>
      </c>
      <c r="H128" s="401">
        <f t="shared" si="23"/>
        <v>901.405785755891</v>
      </c>
      <c r="I128" s="401">
        <f t="shared" si="18"/>
        <v>1340.19286728716</v>
      </c>
      <c r="J128" s="401">
        <f t="shared" si="19"/>
        <v>201745.6882282</v>
      </c>
    </row>
    <row r="129" spans="1:10">
      <c r="A129" s="388"/>
      <c r="B129" s="400">
        <v>111</v>
      </c>
      <c r="C129" s="401">
        <f t="shared" si="20"/>
        <v>666.666666666667</v>
      </c>
      <c r="D129" s="401">
        <f t="shared" si="21"/>
        <v>740.083333333333</v>
      </c>
      <c r="E129" s="401">
        <f t="shared" si="14"/>
        <v>1406.75</v>
      </c>
      <c r="F129" s="401">
        <f t="shared" si="15"/>
        <v>166000.000000001</v>
      </c>
      <c r="G129" s="401">
        <f t="shared" si="22"/>
        <v>440.743340603096</v>
      </c>
      <c r="H129" s="401">
        <f t="shared" si="23"/>
        <v>899.449526684064</v>
      </c>
      <c r="I129" s="401">
        <f t="shared" si="18"/>
        <v>1340.19286728716</v>
      </c>
      <c r="J129" s="401">
        <f t="shared" si="19"/>
        <v>201304.944887597</v>
      </c>
    </row>
    <row r="130" spans="1:10">
      <c r="A130" s="388"/>
      <c r="B130" s="400">
        <v>112</v>
      </c>
      <c r="C130" s="401">
        <f t="shared" si="20"/>
        <v>666.666666666667</v>
      </c>
      <c r="D130" s="401">
        <f t="shared" si="21"/>
        <v>737.111111111111</v>
      </c>
      <c r="E130" s="401">
        <f t="shared" si="14"/>
        <v>1403.77777777778</v>
      </c>
      <c r="F130" s="401">
        <f t="shared" si="15"/>
        <v>165333.333333334</v>
      </c>
      <c r="G130" s="401">
        <f t="shared" si="22"/>
        <v>442.708321329952</v>
      </c>
      <c r="H130" s="401">
        <f t="shared" si="23"/>
        <v>897.484545957209</v>
      </c>
      <c r="I130" s="401">
        <f t="shared" si="18"/>
        <v>1340.19286728716</v>
      </c>
      <c r="J130" s="401">
        <f t="shared" si="19"/>
        <v>200862.236566267</v>
      </c>
    </row>
    <row r="131" spans="1:10">
      <c r="A131" s="388"/>
      <c r="B131" s="400">
        <v>113</v>
      </c>
      <c r="C131" s="401">
        <f t="shared" si="20"/>
        <v>666.666666666667</v>
      </c>
      <c r="D131" s="401">
        <f t="shared" si="21"/>
        <v>734.138888888889</v>
      </c>
      <c r="E131" s="401">
        <f t="shared" si="14"/>
        <v>1400.80555555556</v>
      </c>
      <c r="F131" s="401">
        <f t="shared" si="15"/>
        <v>164666.666666668</v>
      </c>
      <c r="G131" s="401">
        <f t="shared" si="22"/>
        <v>444.682062595881</v>
      </c>
      <c r="H131" s="401">
        <f t="shared" si="23"/>
        <v>895.510804691279</v>
      </c>
      <c r="I131" s="401">
        <f t="shared" si="18"/>
        <v>1340.19286728716</v>
      </c>
      <c r="J131" s="401">
        <f t="shared" si="19"/>
        <v>200417.554503671</v>
      </c>
    </row>
    <row r="132" spans="1:10">
      <c r="A132" s="388"/>
      <c r="B132" s="400">
        <v>114</v>
      </c>
      <c r="C132" s="401">
        <f t="shared" si="20"/>
        <v>666.666666666667</v>
      </c>
      <c r="D132" s="401">
        <f t="shared" si="21"/>
        <v>731.166666666667</v>
      </c>
      <c r="E132" s="401">
        <f t="shared" si="14"/>
        <v>1397.83333333333</v>
      </c>
      <c r="F132" s="401">
        <f t="shared" si="15"/>
        <v>164000.000000001</v>
      </c>
      <c r="G132" s="401">
        <f t="shared" si="22"/>
        <v>446.664603458287</v>
      </c>
      <c r="H132" s="401">
        <f t="shared" si="23"/>
        <v>893.528263828873</v>
      </c>
      <c r="I132" s="401">
        <f t="shared" si="18"/>
        <v>1340.19286728716</v>
      </c>
      <c r="J132" s="401">
        <f t="shared" si="19"/>
        <v>199970.889900213</v>
      </c>
    </row>
    <row r="133" spans="1:10">
      <c r="A133" s="388"/>
      <c r="B133" s="400">
        <v>115</v>
      </c>
      <c r="C133" s="401">
        <f t="shared" si="20"/>
        <v>666.666666666667</v>
      </c>
      <c r="D133" s="401">
        <f t="shared" si="21"/>
        <v>728.194444444444</v>
      </c>
      <c r="E133" s="401">
        <f t="shared" si="14"/>
        <v>1394.86111111111</v>
      </c>
      <c r="F133" s="401">
        <f t="shared" si="15"/>
        <v>163333.333333334</v>
      </c>
      <c r="G133" s="401">
        <f t="shared" si="22"/>
        <v>448.655983148706</v>
      </c>
      <c r="H133" s="401">
        <f t="shared" si="23"/>
        <v>891.536884138455</v>
      </c>
      <c r="I133" s="401">
        <f t="shared" si="18"/>
        <v>1340.19286728716</v>
      </c>
      <c r="J133" s="401">
        <f t="shared" si="19"/>
        <v>199522.233917064</v>
      </c>
    </row>
    <row r="134" spans="1:10">
      <c r="A134" s="388"/>
      <c r="B134" s="400">
        <v>116</v>
      </c>
      <c r="C134" s="401">
        <f t="shared" si="20"/>
        <v>666.666666666667</v>
      </c>
      <c r="D134" s="401">
        <f t="shared" si="21"/>
        <v>725.222222222222</v>
      </c>
      <c r="E134" s="401">
        <f t="shared" si="14"/>
        <v>1391.88888888889</v>
      </c>
      <c r="F134" s="401">
        <f t="shared" si="15"/>
        <v>162666.666666668</v>
      </c>
      <c r="G134" s="401">
        <f t="shared" si="22"/>
        <v>450.656241073577</v>
      </c>
      <c r="H134" s="401">
        <f t="shared" si="23"/>
        <v>889.536626213584</v>
      </c>
      <c r="I134" s="401">
        <f t="shared" si="18"/>
        <v>1340.19286728716</v>
      </c>
      <c r="J134" s="401">
        <f t="shared" si="19"/>
        <v>199071.577675991</v>
      </c>
    </row>
    <row r="135" spans="1:10">
      <c r="A135" s="388"/>
      <c r="B135" s="400">
        <v>117</v>
      </c>
      <c r="C135" s="401">
        <f t="shared" si="20"/>
        <v>666.666666666667</v>
      </c>
      <c r="D135" s="401">
        <f t="shared" si="21"/>
        <v>722.25</v>
      </c>
      <c r="E135" s="401">
        <f t="shared" si="14"/>
        <v>1388.91666666667</v>
      </c>
      <c r="F135" s="401">
        <f t="shared" si="15"/>
        <v>162000.000000001</v>
      </c>
      <c r="G135" s="401">
        <f t="shared" si="22"/>
        <v>452.66541681503</v>
      </c>
      <c r="H135" s="401">
        <f t="shared" si="23"/>
        <v>887.527450472131</v>
      </c>
      <c r="I135" s="401">
        <f t="shared" si="18"/>
        <v>1340.19286728716</v>
      </c>
      <c r="J135" s="401">
        <f t="shared" si="19"/>
        <v>198618.912259176</v>
      </c>
    </row>
    <row r="136" spans="1:10">
      <c r="A136" s="388"/>
      <c r="B136" s="400">
        <v>118</v>
      </c>
      <c r="C136" s="401">
        <f t="shared" si="20"/>
        <v>666.666666666667</v>
      </c>
      <c r="D136" s="401">
        <f t="shared" si="21"/>
        <v>719.277777777778</v>
      </c>
      <c r="E136" s="401">
        <f t="shared" si="14"/>
        <v>1385.94444444444</v>
      </c>
      <c r="F136" s="401">
        <f t="shared" si="15"/>
        <v>161333.333333334</v>
      </c>
      <c r="G136" s="401">
        <f t="shared" si="22"/>
        <v>454.683550131663</v>
      </c>
      <c r="H136" s="401">
        <f t="shared" si="23"/>
        <v>885.509317155497</v>
      </c>
      <c r="I136" s="401">
        <f t="shared" si="18"/>
        <v>1340.19286728716</v>
      </c>
      <c r="J136" s="401">
        <f t="shared" si="19"/>
        <v>198164.228709044</v>
      </c>
    </row>
    <row r="137" spans="1:10">
      <c r="A137" s="388"/>
      <c r="B137" s="400">
        <v>119</v>
      </c>
      <c r="C137" s="401">
        <f t="shared" si="20"/>
        <v>666.666666666667</v>
      </c>
      <c r="D137" s="401">
        <f t="shared" si="21"/>
        <v>716.305555555556</v>
      </c>
      <c r="E137" s="401">
        <f t="shared" si="14"/>
        <v>1382.97222222222</v>
      </c>
      <c r="F137" s="401">
        <f t="shared" si="15"/>
        <v>160666.666666668</v>
      </c>
      <c r="G137" s="401">
        <f t="shared" si="22"/>
        <v>456.710680959334</v>
      </c>
      <c r="H137" s="401">
        <f t="shared" si="23"/>
        <v>883.482186327827</v>
      </c>
      <c r="I137" s="401">
        <f t="shared" si="18"/>
        <v>1340.19286728716</v>
      </c>
      <c r="J137" s="401">
        <f t="shared" si="19"/>
        <v>197707.518028085</v>
      </c>
    </row>
    <row r="138" spans="1:10">
      <c r="A138" s="388"/>
      <c r="B138" s="400">
        <v>120</v>
      </c>
      <c r="C138" s="401">
        <f t="shared" si="20"/>
        <v>666.666666666667</v>
      </c>
      <c r="D138" s="401">
        <f t="shared" si="21"/>
        <v>713.333333333333</v>
      </c>
      <c r="E138" s="401">
        <f t="shared" si="14"/>
        <v>1380</v>
      </c>
      <c r="F138" s="401">
        <f t="shared" si="15"/>
        <v>160000.000000001</v>
      </c>
      <c r="G138" s="401">
        <f t="shared" si="22"/>
        <v>458.746849411944</v>
      </c>
      <c r="H138" s="401">
        <f t="shared" si="23"/>
        <v>881.446017875216</v>
      </c>
      <c r="I138" s="401">
        <f t="shared" si="18"/>
        <v>1340.19286728716</v>
      </c>
      <c r="J138" s="413">
        <f t="shared" si="19"/>
        <v>197248.771178673</v>
      </c>
    </row>
    <row r="139" spans="1:10">
      <c r="A139" s="388"/>
      <c r="B139" s="399" t="s">
        <v>1108</v>
      </c>
      <c r="C139" s="401">
        <f t="shared" ref="C139:H139" si="24">SUM(C18:C138)</f>
        <v>80000</v>
      </c>
      <c r="D139" s="401">
        <f t="shared" si="24"/>
        <v>106821.666666667</v>
      </c>
      <c r="E139" s="411"/>
      <c r="F139" s="411"/>
      <c r="G139" s="401">
        <f t="shared" si="24"/>
        <v>42751.228821327</v>
      </c>
      <c r="H139" s="401">
        <f t="shared" si="24"/>
        <v>118071.915253132</v>
      </c>
      <c r="I139" s="411"/>
      <c r="J139" s="411"/>
    </row>
    <row r="140" spans="2:10">
      <c r="B140" s="412"/>
      <c r="C140" s="412"/>
      <c r="D140" s="412"/>
      <c r="E140" s="412"/>
      <c r="F140" s="412"/>
      <c r="G140" s="412"/>
      <c r="H140" s="412"/>
      <c r="I140" s="412"/>
      <c r="J140" s="412"/>
    </row>
  </sheetData>
  <mergeCells count="5">
    <mergeCell ref="B15:J15"/>
    <mergeCell ref="B16:F16"/>
    <mergeCell ref="G16:J16"/>
    <mergeCell ref="B140:J140"/>
    <mergeCell ref="G1:G12"/>
  </mergeCells>
  <dataValidations count="1">
    <dataValidation type="list" allowBlank="1" showInputMessage="1" showErrorMessage="1" sqref="J8">
      <formula1>$E$8:$E$9</formula1>
    </dataValidation>
  </dataValidations>
  <pageMargins left="0.75" right="0.75" top="1" bottom="1" header="0.509027777777778" footer="0.509027777777778"/>
  <headerFooter/>
  <drawing r:id="rId2"/>
  <legacyDrawing r:id="rId3"/>
  <mc:AlternateContent xmlns:mc="http://schemas.openxmlformats.org/markup-compatibility/2006">
    <mc:Choice Requires="x14">
      <controls>
        <mc:AlternateContent xmlns:mc="http://schemas.openxmlformats.org/markup-compatibility/2006">
          <mc:Choice Requires="x14">
            <control shapeId="221185" name="滚动条 75" r:id="rId4">
              <controlPr defaultSize="0">
                <anchor moveWithCells="1">
                  <from>
                    <xdr:col>9</xdr:col>
                    <xdr:colOff>6985</xdr:colOff>
                    <xdr:row>6</xdr:row>
                    <xdr:rowOff>22225</xdr:rowOff>
                  </from>
                  <to>
                    <xdr:col>9</xdr:col>
                    <xdr:colOff>914400</xdr:colOff>
                    <xdr:row>7</xdr:row>
                    <xdr:rowOff>59055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B1:M140"/>
  <sheetViews>
    <sheetView zoomScale="90" zoomScaleNormal="90" workbookViewId="0">
      <selection activeCell="M142" sqref="$A1:$XFD65536"/>
    </sheetView>
  </sheetViews>
  <sheetFormatPr defaultColWidth="9" defaultRowHeight="14.25"/>
  <cols>
    <col min="1" max="1" width="1.625" style="389" customWidth="1"/>
    <col min="2" max="2" width="8.625" style="389" customWidth="1"/>
    <col min="3" max="6" width="12.625" style="389" customWidth="1"/>
    <col min="7" max="10" width="15.625" style="389" customWidth="1"/>
    <col min="11" max="16384" width="9" style="389"/>
  </cols>
  <sheetData>
    <row r="1" s="388" customFormat="1" ht="20.1" customHeight="1" spans="2:10">
      <c r="B1" s="390"/>
      <c r="E1" s="391"/>
      <c r="F1" s="392" t="str">
        <f>资产负债表!F3</f>
        <v>单位：元 </v>
      </c>
      <c r="G1" s="393" t="s">
        <v>59</v>
      </c>
      <c r="H1" s="394" t="s">
        <v>1091</v>
      </c>
      <c r="I1" s="402"/>
      <c r="J1" s="391"/>
    </row>
    <row r="2" ht="20.1" customHeight="1" spans="5:10">
      <c r="E2" s="395"/>
      <c r="F2" s="395"/>
      <c r="G2" s="393"/>
      <c r="H2" s="396" t="s">
        <v>1092</v>
      </c>
      <c r="I2" s="403"/>
      <c r="J2" s="395"/>
    </row>
    <row r="3" ht="20.1" customHeight="1" spans="5:10">
      <c r="E3" s="395"/>
      <c r="F3" s="395"/>
      <c r="G3" s="393"/>
      <c r="H3" s="396" t="s">
        <v>1093</v>
      </c>
      <c r="I3" s="404">
        <f>I1-I2</f>
        <v>0</v>
      </c>
      <c r="J3" s="395"/>
    </row>
    <row r="4" ht="20.1" customHeight="1" spans="5:10">
      <c r="E4" s="395"/>
      <c r="F4" s="395"/>
      <c r="G4" s="393"/>
      <c r="H4" s="396" t="s">
        <v>1094</v>
      </c>
      <c r="I4" s="405">
        <v>10</v>
      </c>
      <c r="J4" s="395"/>
    </row>
    <row r="5" ht="20.1" customHeight="1" spans="5:10">
      <c r="E5" s="395"/>
      <c r="F5" s="395"/>
      <c r="G5" s="393"/>
      <c r="H5" s="396" t="s">
        <v>1095</v>
      </c>
      <c r="I5" s="406"/>
      <c r="J5" s="395"/>
    </row>
    <row r="6" ht="20.1" customHeight="1" spans="5:10">
      <c r="E6" s="395"/>
      <c r="F6" s="395"/>
      <c r="G6" s="393"/>
      <c r="H6" s="396"/>
      <c r="I6" s="407"/>
      <c r="J6" s="395"/>
    </row>
    <row r="7" ht="20.1" customHeight="1" spans="5:13">
      <c r="E7" s="395"/>
      <c r="F7" s="395"/>
      <c r="G7" s="393"/>
      <c r="H7" s="396" t="s">
        <v>1096</v>
      </c>
      <c r="I7" s="408">
        <v>1</v>
      </c>
      <c r="J7" s="395"/>
      <c r="M7" s="409"/>
    </row>
    <row r="8" ht="20.1" customHeight="1" spans="5:10">
      <c r="E8" s="397" t="s">
        <v>1097</v>
      </c>
      <c r="F8" s="395"/>
      <c r="G8" s="393"/>
      <c r="H8" s="396" t="s">
        <v>1098</v>
      </c>
      <c r="I8" s="408">
        <f>IF(J8=E8,1,2)</f>
        <v>1</v>
      </c>
      <c r="J8" s="397" t="s">
        <v>1097</v>
      </c>
    </row>
    <row r="9" ht="20.1" customHeight="1" spans="5:10">
      <c r="E9" s="397" t="s">
        <v>1099</v>
      </c>
      <c r="F9" s="395"/>
      <c r="G9" s="393"/>
      <c r="H9" s="396" t="s">
        <v>1100</v>
      </c>
      <c r="I9" s="404">
        <f>INDEX($C$19:$J$138,$I$7,($I$8-1)*4+1)</f>
        <v>0</v>
      </c>
      <c r="J9" s="395"/>
    </row>
    <row r="10" ht="20.1" customHeight="1" spans="5:10">
      <c r="E10" s="395"/>
      <c r="F10" s="395"/>
      <c r="G10" s="393"/>
      <c r="H10" s="396" t="s">
        <v>1101</v>
      </c>
      <c r="I10" s="404">
        <f>INDEX($C$19:$J$138,$I$7,($I$8-1)*4+2)</f>
        <v>0</v>
      </c>
      <c r="J10" s="395"/>
    </row>
    <row r="11" ht="20.1" customHeight="1" spans="5:10">
      <c r="E11" s="395"/>
      <c r="F11" s="395"/>
      <c r="G11" s="393"/>
      <c r="H11" s="396" t="s">
        <v>1102</v>
      </c>
      <c r="I11" s="404">
        <f>INDEX($C$19:$J$138,$I$7,($I$8-1)*4+3)</f>
        <v>0</v>
      </c>
      <c r="J11" s="395"/>
    </row>
    <row r="12" ht="20.1" customHeight="1" spans="5:10">
      <c r="E12" s="395"/>
      <c r="F12" s="395"/>
      <c r="G12" s="393"/>
      <c r="H12" s="398" t="s">
        <v>1103</v>
      </c>
      <c r="I12" s="410">
        <f>INDEX($C$19:$J$138,$I$7,($I$8-1)*4+4)</f>
        <v>0</v>
      </c>
      <c r="J12" s="395"/>
    </row>
    <row r="13" ht="20.1" customHeight="1"/>
    <row r="14" ht="20.1" customHeight="1"/>
    <row r="15" s="388" customFormat="1" ht="12" spans="2:10">
      <c r="B15" s="399" t="s">
        <v>1104</v>
      </c>
      <c r="C15" s="399"/>
      <c r="D15" s="399"/>
      <c r="E15" s="399"/>
      <c r="F15" s="399"/>
      <c r="G15" s="399"/>
      <c r="H15" s="399"/>
      <c r="I15" s="399"/>
      <c r="J15" s="399"/>
    </row>
    <row r="16" s="388" customFormat="1" ht="12" spans="2:10">
      <c r="B16" s="399" t="s">
        <v>1105</v>
      </c>
      <c r="C16" s="399"/>
      <c r="D16" s="399"/>
      <c r="E16" s="399"/>
      <c r="F16" s="399"/>
      <c r="G16" s="399" t="s">
        <v>1106</v>
      </c>
      <c r="H16" s="399"/>
      <c r="I16" s="399"/>
      <c r="J16" s="399"/>
    </row>
    <row r="17" s="388" customFormat="1" ht="12" spans="2:10">
      <c r="B17" s="399" t="s">
        <v>1107</v>
      </c>
      <c r="C17" s="399" t="s">
        <v>1100</v>
      </c>
      <c r="D17" s="399" t="s">
        <v>1101</v>
      </c>
      <c r="E17" s="399" t="s">
        <v>1102</v>
      </c>
      <c r="F17" s="399" t="s">
        <v>1103</v>
      </c>
      <c r="G17" s="399" t="s">
        <v>1100</v>
      </c>
      <c r="H17" s="399" t="s">
        <v>1101</v>
      </c>
      <c r="I17" s="399" t="s">
        <v>1102</v>
      </c>
      <c r="J17" s="399" t="s">
        <v>1103</v>
      </c>
    </row>
    <row r="18" s="388" customFormat="1" ht="12" spans="2:10">
      <c r="B18" s="400">
        <v>0</v>
      </c>
      <c r="C18" s="401"/>
      <c r="D18" s="401"/>
      <c r="E18" s="401"/>
      <c r="F18" s="401">
        <f>I3</f>
        <v>0</v>
      </c>
      <c r="G18" s="401"/>
      <c r="H18" s="401"/>
      <c r="I18" s="401"/>
      <c r="J18" s="401">
        <f>I3</f>
        <v>0</v>
      </c>
    </row>
    <row r="19" s="388" customFormat="1" ht="12" spans="2:10">
      <c r="B19" s="400">
        <v>1</v>
      </c>
      <c r="C19" s="401">
        <f t="shared" ref="C19:C50" si="0">$I$3/($I$4*12)</f>
        <v>0</v>
      </c>
      <c r="D19" s="401">
        <f t="shared" ref="D19:D50" si="1">ISPMT($I$5/12,B19,$I$4*12,-$I$3)</f>
        <v>0</v>
      </c>
      <c r="E19" s="401">
        <f t="shared" ref="E19:E82" si="2">C19+D19</f>
        <v>0</v>
      </c>
      <c r="F19" s="401">
        <f t="shared" ref="F19:F82" si="3">F18-C19</f>
        <v>0</v>
      </c>
      <c r="G19" s="401">
        <f t="shared" ref="G19:G50" si="4">PPMT($I$5/12,B19,$I$4*12,-$I$3)</f>
        <v>0</v>
      </c>
      <c r="H19" s="401">
        <f t="shared" ref="H19:H50" si="5">IPMT($I$5/12,B19,$I$4*12,-$I$3)</f>
        <v>0</v>
      </c>
      <c r="I19" s="401">
        <f t="shared" ref="I19:I82" si="6">G19+H19</f>
        <v>0</v>
      </c>
      <c r="J19" s="401">
        <f t="shared" ref="J19:J82" si="7">J18-G19</f>
        <v>0</v>
      </c>
    </row>
    <row r="20" s="388" customFormat="1" ht="12" spans="2:10">
      <c r="B20" s="400">
        <v>2</v>
      </c>
      <c r="C20" s="401">
        <f t="shared" si="0"/>
        <v>0</v>
      </c>
      <c r="D20" s="401">
        <f t="shared" si="1"/>
        <v>0</v>
      </c>
      <c r="E20" s="401">
        <f t="shared" si="2"/>
        <v>0</v>
      </c>
      <c r="F20" s="401">
        <f t="shared" si="3"/>
        <v>0</v>
      </c>
      <c r="G20" s="401">
        <f t="shared" si="4"/>
        <v>0</v>
      </c>
      <c r="H20" s="401">
        <f t="shared" si="5"/>
        <v>0</v>
      </c>
      <c r="I20" s="401">
        <f t="shared" si="6"/>
        <v>0</v>
      </c>
      <c r="J20" s="401">
        <f t="shared" si="7"/>
        <v>0</v>
      </c>
    </row>
    <row r="21" s="388" customFormat="1" ht="12" hidden="1" spans="2:10">
      <c r="B21" s="400">
        <v>3</v>
      </c>
      <c r="C21" s="401">
        <f t="shared" si="0"/>
        <v>0</v>
      </c>
      <c r="D21" s="401">
        <f t="shared" si="1"/>
        <v>0</v>
      </c>
      <c r="E21" s="401">
        <f t="shared" si="2"/>
        <v>0</v>
      </c>
      <c r="F21" s="401">
        <f t="shared" si="3"/>
        <v>0</v>
      </c>
      <c r="G21" s="401">
        <f t="shared" si="4"/>
        <v>0</v>
      </c>
      <c r="H21" s="401">
        <f t="shared" si="5"/>
        <v>0</v>
      </c>
      <c r="I21" s="401">
        <f t="shared" si="6"/>
        <v>0</v>
      </c>
      <c r="J21" s="401">
        <f t="shared" si="7"/>
        <v>0</v>
      </c>
    </row>
    <row r="22" s="388" customFormat="1" ht="12" hidden="1" spans="2:10">
      <c r="B22" s="400">
        <v>4</v>
      </c>
      <c r="C22" s="401">
        <f t="shared" si="0"/>
        <v>0</v>
      </c>
      <c r="D22" s="401">
        <f t="shared" si="1"/>
        <v>0</v>
      </c>
      <c r="E22" s="401">
        <f t="shared" si="2"/>
        <v>0</v>
      </c>
      <c r="F22" s="401">
        <f t="shared" si="3"/>
        <v>0</v>
      </c>
      <c r="G22" s="401">
        <f t="shared" si="4"/>
        <v>0</v>
      </c>
      <c r="H22" s="401">
        <f t="shared" si="5"/>
        <v>0</v>
      </c>
      <c r="I22" s="401">
        <f t="shared" si="6"/>
        <v>0</v>
      </c>
      <c r="J22" s="401">
        <f t="shared" si="7"/>
        <v>0</v>
      </c>
    </row>
    <row r="23" s="388" customFormat="1" ht="12" hidden="1" spans="2:10">
      <c r="B23" s="400">
        <v>5</v>
      </c>
      <c r="C23" s="401">
        <f t="shared" si="0"/>
        <v>0</v>
      </c>
      <c r="D23" s="401">
        <f t="shared" si="1"/>
        <v>0</v>
      </c>
      <c r="E23" s="401">
        <f t="shared" si="2"/>
        <v>0</v>
      </c>
      <c r="F23" s="401">
        <f t="shared" si="3"/>
        <v>0</v>
      </c>
      <c r="G23" s="401">
        <f t="shared" si="4"/>
        <v>0</v>
      </c>
      <c r="H23" s="401">
        <f t="shared" si="5"/>
        <v>0</v>
      </c>
      <c r="I23" s="401">
        <f t="shared" si="6"/>
        <v>0</v>
      </c>
      <c r="J23" s="401">
        <f t="shared" si="7"/>
        <v>0</v>
      </c>
    </row>
    <row r="24" s="388" customFormat="1" ht="12" hidden="1" spans="2:10">
      <c r="B24" s="400">
        <v>6</v>
      </c>
      <c r="C24" s="401">
        <f t="shared" si="0"/>
        <v>0</v>
      </c>
      <c r="D24" s="401">
        <f t="shared" si="1"/>
        <v>0</v>
      </c>
      <c r="E24" s="401">
        <f t="shared" si="2"/>
        <v>0</v>
      </c>
      <c r="F24" s="401">
        <f t="shared" si="3"/>
        <v>0</v>
      </c>
      <c r="G24" s="401">
        <f t="shared" si="4"/>
        <v>0</v>
      </c>
      <c r="H24" s="401">
        <f t="shared" si="5"/>
        <v>0</v>
      </c>
      <c r="I24" s="401">
        <f t="shared" si="6"/>
        <v>0</v>
      </c>
      <c r="J24" s="401">
        <f t="shared" si="7"/>
        <v>0</v>
      </c>
    </row>
    <row r="25" s="388" customFormat="1" ht="12" hidden="1" spans="2:10">
      <c r="B25" s="400">
        <v>7</v>
      </c>
      <c r="C25" s="401">
        <f t="shared" si="0"/>
        <v>0</v>
      </c>
      <c r="D25" s="401">
        <f t="shared" si="1"/>
        <v>0</v>
      </c>
      <c r="E25" s="401">
        <f t="shared" si="2"/>
        <v>0</v>
      </c>
      <c r="F25" s="401">
        <f t="shared" si="3"/>
        <v>0</v>
      </c>
      <c r="G25" s="401">
        <f t="shared" si="4"/>
        <v>0</v>
      </c>
      <c r="H25" s="401">
        <f t="shared" si="5"/>
        <v>0</v>
      </c>
      <c r="I25" s="401">
        <f t="shared" si="6"/>
        <v>0</v>
      </c>
      <c r="J25" s="401">
        <f t="shared" si="7"/>
        <v>0</v>
      </c>
    </row>
    <row r="26" s="388" customFormat="1" ht="12" hidden="1" spans="2:10">
      <c r="B26" s="400">
        <v>8</v>
      </c>
      <c r="C26" s="401">
        <f t="shared" si="0"/>
        <v>0</v>
      </c>
      <c r="D26" s="401">
        <f t="shared" si="1"/>
        <v>0</v>
      </c>
      <c r="E26" s="401">
        <f t="shared" si="2"/>
        <v>0</v>
      </c>
      <c r="F26" s="401">
        <f t="shared" si="3"/>
        <v>0</v>
      </c>
      <c r="G26" s="401">
        <f t="shared" si="4"/>
        <v>0</v>
      </c>
      <c r="H26" s="401">
        <f t="shared" si="5"/>
        <v>0</v>
      </c>
      <c r="I26" s="401">
        <f t="shared" si="6"/>
        <v>0</v>
      </c>
      <c r="J26" s="401">
        <f t="shared" si="7"/>
        <v>0</v>
      </c>
    </row>
    <row r="27" s="388" customFormat="1" ht="12" hidden="1" spans="2:10">
      <c r="B27" s="400">
        <v>9</v>
      </c>
      <c r="C27" s="401">
        <f t="shared" si="0"/>
        <v>0</v>
      </c>
      <c r="D27" s="401">
        <f t="shared" si="1"/>
        <v>0</v>
      </c>
      <c r="E27" s="401">
        <f t="shared" si="2"/>
        <v>0</v>
      </c>
      <c r="F27" s="401">
        <f t="shared" si="3"/>
        <v>0</v>
      </c>
      <c r="G27" s="401">
        <f t="shared" si="4"/>
        <v>0</v>
      </c>
      <c r="H27" s="401">
        <f t="shared" si="5"/>
        <v>0</v>
      </c>
      <c r="I27" s="401">
        <f t="shared" si="6"/>
        <v>0</v>
      </c>
      <c r="J27" s="401">
        <f t="shared" si="7"/>
        <v>0</v>
      </c>
    </row>
    <row r="28" s="388" customFormat="1" ht="12" hidden="1" spans="2:10">
      <c r="B28" s="400">
        <v>10</v>
      </c>
      <c r="C28" s="401">
        <f t="shared" si="0"/>
        <v>0</v>
      </c>
      <c r="D28" s="401">
        <f t="shared" si="1"/>
        <v>0</v>
      </c>
      <c r="E28" s="401">
        <f t="shared" si="2"/>
        <v>0</v>
      </c>
      <c r="F28" s="401">
        <f t="shared" si="3"/>
        <v>0</v>
      </c>
      <c r="G28" s="401">
        <f t="shared" si="4"/>
        <v>0</v>
      </c>
      <c r="H28" s="401">
        <f t="shared" si="5"/>
        <v>0</v>
      </c>
      <c r="I28" s="401">
        <f t="shared" si="6"/>
        <v>0</v>
      </c>
      <c r="J28" s="401">
        <f t="shared" si="7"/>
        <v>0</v>
      </c>
    </row>
    <row r="29" s="388" customFormat="1" ht="12" hidden="1" spans="2:10">
      <c r="B29" s="400">
        <v>11</v>
      </c>
      <c r="C29" s="401">
        <f t="shared" si="0"/>
        <v>0</v>
      </c>
      <c r="D29" s="401">
        <f t="shared" si="1"/>
        <v>0</v>
      </c>
      <c r="E29" s="401">
        <f t="shared" si="2"/>
        <v>0</v>
      </c>
      <c r="F29" s="401">
        <f t="shared" si="3"/>
        <v>0</v>
      </c>
      <c r="G29" s="401">
        <f t="shared" si="4"/>
        <v>0</v>
      </c>
      <c r="H29" s="401">
        <f t="shared" si="5"/>
        <v>0</v>
      </c>
      <c r="I29" s="401">
        <f t="shared" si="6"/>
        <v>0</v>
      </c>
      <c r="J29" s="401">
        <f t="shared" si="7"/>
        <v>0</v>
      </c>
    </row>
    <row r="30" s="388" customFormat="1" ht="12" hidden="1" spans="2:10">
      <c r="B30" s="400">
        <v>12</v>
      </c>
      <c r="C30" s="401">
        <f t="shared" si="0"/>
        <v>0</v>
      </c>
      <c r="D30" s="401">
        <f t="shared" si="1"/>
        <v>0</v>
      </c>
      <c r="E30" s="401">
        <f t="shared" si="2"/>
        <v>0</v>
      </c>
      <c r="F30" s="401">
        <f t="shared" si="3"/>
        <v>0</v>
      </c>
      <c r="G30" s="401">
        <f t="shared" si="4"/>
        <v>0</v>
      </c>
      <c r="H30" s="401">
        <f t="shared" si="5"/>
        <v>0</v>
      </c>
      <c r="I30" s="401">
        <f t="shared" si="6"/>
        <v>0</v>
      </c>
      <c r="J30" s="401">
        <f t="shared" si="7"/>
        <v>0</v>
      </c>
    </row>
    <row r="31" s="388" customFormat="1" ht="12" hidden="1" spans="2:10">
      <c r="B31" s="400">
        <v>13</v>
      </c>
      <c r="C31" s="401">
        <f t="shared" si="0"/>
        <v>0</v>
      </c>
      <c r="D31" s="401">
        <f t="shared" si="1"/>
        <v>0</v>
      </c>
      <c r="E31" s="401">
        <f t="shared" si="2"/>
        <v>0</v>
      </c>
      <c r="F31" s="401">
        <f t="shared" si="3"/>
        <v>0</v>
      </c>
      <c r="G31" s="401">
        <f t="shared" si="4"/>
        <v>0</v>
      </c>
      <c r="H31" s="401">
        <f t="shared" si="5"/>
        <v>0</v>
      </c>
      <c r="I31" s="401">
        <f t="shared" si="6"/>
        <v>0</v>
      </c>
      <c r="J31" s="401">
        <f t="shared" si="7"/>
        <v>0</v>
      </c>
    </row>
    <row r="32" s="388" customFormat="1" ht="12" hidden="1" spans="2:10">
      <c r="B32" s="400">
        <v>14</v>
      </c>
      <c r="C32" s="401">
        <f t="shared" si="0"/>
        <v>0</v>
      </c>
      <c r="D32" s="401">
        <f t="shared" si="1"/>
        <v>0</v>
      </c>
      <c r="E32" s="401">
        <f t="shared" si="2"/>
        <v>0</v>
      </c>
      <c r="F32" s="401">
        <f t="shared" si="3"/>
        <v>0</v>
      </c>
      <c r="G32" s="401">
        <f t="shared" si="4"/>
        <v>0</v>
      </c>
      <c r="H32" s="401">
        <f t="shared" si="5"/>
        <v>0</v>
      </c>
      <c r="I32" s="401">
        <f t="shared" si="6"/>
        <v>0</v>
      </c>
      <c r="J32" s="401">
        <f t="shared" si="7"/>
        <v>0</v>
      </c>
    </row>
    <row r="33" s="388" customFormat="1" ht="12" hidden="1" spans="2:10">
      <c r="B33" s="400">
        <v>15</v>
      </c>
      <c r="C33" s="401">
        <f t="shared" si="0"/>
        <v>0</v>
      </c>
      <c r="D33" s="401">
        <f t="shared" si="1"/>
        <v>0</v>
      </c>
      <c r="E33" s="401">
        <f t="shared" si="2"/>
        <v>0</v>
      </c>
      <c r="F33" s="401">
        <f t="shared" si="3"/>
        <v>0</v>
      </c>
      <c r="G33" s="401">
        <f t="shared" si="4"/>
        <v>0</v>
      </c>
      <c r="H33" s="401">
        <f t="shared" si="5"/>
        <v>0</v>
      </c>
      <c r="I33" s="401">
        <f t="shared" si="6"/>
        <v>0</v>
      </c>
      <c r="J33" s="401">
        <f t="shared" si="7"/>
        <v>0</v>
      </c>
    </row>
    <row r="34" s="388" customFormat="1" ht="12" hidden="1" spans="2:10">
      <c r="B34" s="400">
        <v>16</v>
      </c>
      <c r="C34" s="401">
        <f t="shared" si="0"/>
        <v>0</v>
      </c>
      <c r="D34" s="401">
        <f t="shared" si="1"/>
        <v>0</v>
      </c>
      <c r="E34" s="401">
        <f t="shared" si="2"/>
        <v>0</v>
      </c>
      <c r="F34" s="401">
        <f t="shared" si="3"/>
        <v>0</v>
      </c>
      <c r="G34" s="401">
        <f t="shared" si="4"/>
        <v>0</v>
      </c>
      <c r="H34" s="401">
        <f t="shared" si="5"/>
        <v>0</v>
      </c>
      <c r="I34" s="401">
        <f t="shared" si="6"/>
        <v>0</v>
      </c>
      <c r="J34" s="401">
        <f t="shared" si="7"/>
        <v>0</v>
      </c>
    </row>
    <row r="35" s="388" customFormat="1" ht="12" hidden="1" spans="2:10">
      <c r="B35" s="400">
        <v>17</v>
      </c>
      <c r="C35" s="401">
        <f t="shared" si="0"/>
        <v>0</v>
      </c>
      <c r="D35" s="401">
        <f t="shared" si="1"/>
        <v>0</v>
      </c>
      <c r="E35" s="401">
        <f t="shared" si="2"/>
        <v>0</v>
      </c>
      <c r="F35" s="401">
        <f t="shared" si="3"/>
        <v>0</v>
      </c>
      <c r="G35" s="401">
        <f t="shared" si="4"/>
        <v>0</v>
      </c>
      <c r="H35" s="401">
        <f t="shared" si="5"/>
        <v>0</v>
      </c>
      <c r="I35" s="401">
        <f t="shared" si="6"/>
        <v>0</v>
      </c>
      <c r="J35" s="401">
        <f t="shared" si="7"/>
        <v>0</v>
      </c>
    </row>
    <row r="36" s="388" customFormat="1" ht="12" hidden="1" spans="2:10">
      <c r="B36" s="400">
        <v>18</v>
      </c>
      <c r="C36" s="401">
        <f t="shared" si="0"/>
        <v>0</v>
      </c>
      <c r="D36" s="401">
        <f t="shared" si="1"/>
        <v>0</v>
      </c>
      <c r="E36" s="401">
        <f t="shared" si="2"/>
        <v>0</v>
      </c>
      <c r="F36" s="401">
        <f t="shared" si="3"/>
        <v>0</v>
      </c>
      <c r="G36" s="401">
        <f t="shared" si="4"/>
        <v>0</v>
      </c>
      <c r="H36" s="401">
        <f t="shared" si="5"/>
        <v>0</v>
      </c>
      <c r="I36" s="401">
        <f t="shared" si="6"/>
        <v>0</v>
      </c>
      <c r="J36" s="401">
        <f t="shared" si="7"/>
        <v>0</v>
      </c>
    </row>
    <row r="37" s="388" customFormat="1" ht="12" hidden="1" spans="2:10">
      <c r="B37" s="400">
        <v>19</v>
      </c>
      <c r="C37" s="401">
        <f t="shared" si="0"/>
        <v>0</v>
      </c>
      <c r="D37" s="401">
        <f t="shared" si="1"/>
        <v>0</v>
      </c>
      <c r="E37" s="401">
        <f t="shared" si="2"/>
        <v>0</v>
      </c>
      <c r="F37" s="401">
        <f t="shared" si="3"/>
        <v>0</v>
      </c>
      <c r="G37" s="401">
        <f t="shared" si="4"/>
        <v>0</v>
      </c>
      <c r="H37" s="401">
        <f t="shared" si="5"/>
        <v>0</v>
      </c>
      <c r="I37" s="401">
        <f t="shared" si="6"/>
        <v>0</v>
      </c>
      <c r="J37" s="401">
        <f t="shared" si="7"/>
        <v>0</v>
      </c>
    </row>
    <row r="38" s="388" customFormat="1" ht="12" hidden="1" spans="2:10">
      <c r="B38" s="400">
        <v>20</v>
      </c>
      <c r="C38" s="401">
        <f t="shared" si="0"/>
        <v>0</v>
      </c>
      <c r="D38" s="401">
        <f t="shared" si="1"/>
        <v>0</v>
      </c>
      <c r="E38" s="401">
        <f t="shared" si="2"/>
        <v>0</v>
      </c>
      <c r="F38" s="401">
        <f t="shared" si="3"/>
        <v>0</v>
      </c>
      <c r="G38" s="401">
        <f t="shared" si="4"/>
        <v>0</v>
      </c>
      <c r="H38" s="401">
        <f t="shared" si="5"/>
        <v>0</v>
      </c>
      <c r="I38" s="401">
        <f t="shared" si="6"/>
        <v>0</v>
      </c>
      <c r="J38" s="401">
        <f t="shared" si="7"/>
        <v>0</v>
      </c>
    </row>
    <row r="39" s="388" customFormat="1" ht="12" hidden="1" spans="2:10">
      <c r="B39" s="400">
        <v>21</v>
      </c>
      <c r="C39" s="401">
        <f t="shared" si="0"/>
        <v>0</v>
      </c>
      <c r="D39" s="401">
        <f t="shared" si="1"/>
        <v>0</v>
      </c>
      <c r="E39" s="401">
        <f t="shared" si="2"/>
        <v>0</v>
      </c>
      <c r="F39" s="401">
        <f t="shared" si="3"/>
        <v>0</v>
      </c>
      <c r="G39" s="401">
        <f t="shared" si="4"/>
        <v>0</v>
      </c>
      <c r="H39" s="401">
        <f t="shared" si="5"/>
        <v>0</v>
      </c>
      <c r="I39" s="401">
        <f t="shared" si="6"/>
        <v>0</v>
      </c>
      <c r="J39" s="401">
        <f t="shared" si="7"/>
        <v>0</v>
      </c>
    </row>
    <row r="40" s="388" customFormat="1" ht="12" hidden="1" spans="2:10">
      <c r="B40" s="400">
        <v>22</v>
      </c>
      <c r="C40" s="401">
        <f t="shared" si="0"/>
        <v>0</v>
      </c>
      <c r="D40" s="401">
        <f t="shared" si="1"/>
        <v>0</v>
      </c>
      <c r="E40" s="401">
        <f t="shared" si="2"/>
        <v>0</v>
      </c>
      <c r="F40" s="401">
        <f t="shared" si="3"/>
        <v>0</v>
      </c>
      <c r="G40" s="401">
        <f t="shared" si="4"/>
        <v>0</v>
      </c>
      <c r="H40" s="401">
        <f t="shared" si="5"/>
        <v>0</v>
      </c>
      <c r="I40" s="401">
        <f t="shared" si="6"/>
        <v>0</v>
      </c>
      <c r="J40" s="401">
        <f t="shared" si="7"/>
        <v>0</v>
      </c>
    </row>
    <row r="41" s="388" customFormat="1" ht="12" hidden="1" spans="2:10">
      <c r="B41" s="400">
        <v>23</v>
      </c>
      <c r="C41" s="401">
        <f t="shared" si="0"/>
        <v>0</v>
      </c>
      <c r="D41" s="401">
        <f t="shared" si="1"/>
        <v>0</v>
      </c>
      <c r="E41" s="401">
        <f t="shared" si="2"/>
        <v>0</v>
      </c>
      <c r="F41" s="401">
        <f t="shared" si="3"/>
        <v>0</v>
      </c>
      <c r="G41" s="401">
        <f t="shared" si="4"/>
        <v>0</v>
      </c>
      <c r="H41" s="401">
        <f t="shared" si="5"/>
        <v>0</v>
      </c>
      <c r="I41" s="401">
        <f t="shared" si="6"/>
        <v>0</v>
      </c>
      <c r="J41" s="401">
        <f t="shared" si="7"/>
        <v>0</v>
      </c>
    </row>
    <row r="42" s="388" customFormat="1" ht="12" hidden="1" spans="2:10">
      <c r="B42" s="400">
        <v>24</v>
      </c>
      <c r="C42" s="401">
        <f t="shared" si="0"/>
        <v>0</v>
      </c>
      <c r="D42" s="401">
        <f t="shared" si="1"/>
        <v>0</v>
      </c>
      <c r="E42" s="401">
        <f t="shared" si="2"/>
        <v>0</v>
      </c>
      <c r="F42" s="401">
        <f t="shared" si="3"/>
        <v>0</v>
      </c>
      <c r="G42" s="401">
        <f t="shared" si="4"/>
        <v>0</v>
      </c>
      <c r="H42" s="401">
        <f t="shared" si="5"/>
        <v>0</v>
      </c>
      <c r="I42" s="401">
        <f t="shared" si="6"/>
        <v>0</v>
      </c>
      <c r="J42" s="401">
        <f t="shared" si="7"/>
        <v>0</v>
      </c>
    </row>
    <row r="43" s="388" customFormat="1" ht="12" hidden="1" spans="2:10">
      <c r="B43" s="400">
        <v>25</v>
      </c>
      <c r="C43" s="401">
        <f t="shared" si="0"/>
        <v>0</v>
      </c>
      <c r="D43" s="401">
        <f t="shared" si="1"/>
        <v>0</v>
      </c>
      <c r="E43" s="401">
        <f t="shared" si="2"/>
        <v>0</v>
      </c>
      <c r="F43" s="401">
        <f t="shared" si="3"/>
        <v>0</v>
      </c>
      <c r="G43" s="401">
        <f t="shared" si="4"/>
        <v>0</v>
      </c>
      <c r="H43" s="401">
        <f t="shared" si="5"/>
        <v>0</v>
      </c>
      <c r="I43" s="401">
        <f t="shared" si="6"/>
        <v>0</v>
      </c>
      <c r="J43" s="401">
        <f t="shared" si="7"/>
        <v>0</v>
      </c>
    </row>
    <row r="44" s="388" customFormat="1" ht="12" hidden="1" spans="2:10">
      <c r="B44" s="400">
        <v>26</v>
      </c>
      <c r="C44" s="401">
        <f t="shared" si="0"/>
        <v>0</v>
      </c>
      <c r="D44" s="401">
        <f t="shared" si="1"/>
        <v>0</v>
      </c>
      <c r="E44" s="401">
        <f t="shared" si="2"/>
        <v>0</v>
      </c>
      <c r="F44" s="401">
        <f t="shared" si="3"/>
        <v>0</v>
      </c>
      <c r="G44" s="401">
        <f t="shared" si="4"/>
        <v>0</v>
      </c>
      <c r="H44" s="401">
        <f t="shared" si="5"/>
        <v>0</v>
      </c>
      <c r="I44" s="401">
        <f t="shared" si="6"/>
        <v>0</v>
      </c>
      <c r="J44" s="401">
        <f t="shared" si="7"/>
        <v>0</v>
      </c>
    </row>
    <row r="45" s="388" customFormat="1" ht="12" hidden="1" spans="2:10">
      <c r="B45" s="400">
        <v>27</v>
      </c>
      <c r="C45" s="401">
        <f t="shared" si="0"/>
        <v>0</v>
      </c>
      <c r="D45" s="401">
        <f t="shared" si="1"/>
        <v>0</v>
      </c>
      <c r="E45" s="401">
        <f t="shared" si="2"/>
        <v>0</v>
      </c>
      <c r="F45" s="401">
        <f t="shared" si="3"/>
        <v>0</v>
      </c>
      <c r="G45" s="401">
        <f t="shared" si="4"/>
        <v>0</v>
      </c>
      <c r="H45" s="401">
        <f t="shared" si="5"/>
        <v>0</v>
      </c>
      <c r="I45" s="401">
        <f t="shared" si="6"/>
        <v>0</v>
      </c>
      <c r="J45" s="401">
        <f t="shared" si="7"/>
        <v>0</v>
      </c>
    </row>
    <row r="46" s="388" customFormat="1" ht="12" hidden="1" spans="2:10">
      <c r="B46" s="400">
        <v>28</v>
      </c>
      <c r="C46" s="401">
        <f t="shared" si="0"/>
        <v>0</v>
      </c>
      <c r="D46" s="401">
        <f t="shared" si="1"/>
        <v>0</v>
      </c>
      <c r="E46" s="401">
        <f t="shared" si="2"/>
        <v>0</v>
      </c>
      <c r="F46" s="401">
        <f t="shared" si="3"/>
        <v>0</v>
      </c>
      <c r="G46" s="401">
        <f t="shared" si="4"/>
        <v>0</v>
      </c>
      <c r="H46" s="401">
        <f t="shared" si="5"/>
        <v>0</v>
      </c>
      <c r="I46" s="401">
        <f t="shared" si="6"/>
        <v>0</v>
      </c>
      <c r="J46" s="401">
        <f t="shared" si="7"/>
        <v>0</v>
      </c>
    </row>
    <row r="47" s="388" customFormat="1" ht="12" hidden="1" spans="2:10">
      <c r="B47" s="400">
        <v>29</v>
      </c>
      <c r="C47" s="401">
        <f t="shared" si="0"/>
        <v>0</v>
      </c>
      <c r="D47" s="401">
        <f t="shared" si="1"/>
        <v>0</v>
      </c>
      <c r="E47" s="401">
        <f t="shared" si="2"/>
        <v>0</v>
      </c>
      <c r="F47" s="401">
        <f t="shared" si="3"/>
        <v>0</v>
      </c>
      <c r="G47" s="401">
        <f t="shared" si="4"/>
        <v>0</v>
      </c>
      <c r="H47" s="401">
        <f t="shared" si="5"/>
        <v>0</v>
      </c>
      <c r="I47" s="401">
        <f t="shared" si="6"/>
        <v>0</v>
      </c>
      <c r="J47" s="401">
        <f t="shared" si="7"/>
        <v>0</v>
      </c>
    </row>
    <row r="48" s="388" customFormat="1" ht="12" hidden="1" spans="2:10">
      <c r="B48" s="400">
        <v>30</v>
      </c>
      <c r="C48" s="401">
        <f t="shared" si="0"/>
        <v>0</v>
      </c>
      <c r="D48" s="401">
        <f t="shared" si="1"/>
        <v>0</v>
      </c>
      <c r="E48" s="401">
        <f t="shared" si="2"/>
        <v>0</v>
      </c>
      <c r="F48" s="401">
        <f t="shared" si="3"/>
        <v>0</v>
      </c>
      <c r="G48" s="401">
        <f t="shared" si="4"/>
        <v>0</v>
      </c>
      <c r="H48" s="401">
        <f t="shared" si="5"/>
        <v>0</v>
      </c>
      <c r="I48" s="401">
        <f t="shared" si="6"/>
        <v>0</v>
      </c>
      <c r="J48" s="401">
        <f t="shared" si="7"/>
        <v>0</v>
      </c>
    </row>
    <row r="49" s="388" customFormat="1" ht="12" hidden="1" spans="2:10">
      <c r="B49" s="400">
        <v>31</v>
      </c>
      <c r="C49" s="401">
        <f t="shared" si="0"/>
        <v>0</v>
      </c>
      <c r="D49" s="401">
        <f t="shared" si="1"/>
        <v>0</v>
      </c>
      <c r="E49" s="401">
        <f t="shared" si="2"/>
        <v>0</v>
      </c>
      <c r="F49" s="401">
        <f t="shared" si="3"/>
        <v>0</v>
      </c>
      <c r="G49" s="401">
        <f t="shared" si="4"/>
        <v>0</v>
      </c>
      <c r="H49" s="401">
        <f t="shared" si="5"/>
        <v>0</v>
      </c>
      <c r="I49" s="401">
        <f t="shared" si="6"/>
        <v>0</v>
      </c>
      <c r="J49" s="401">
        <f t="shared" si="7"/>
        <v>0</v>
      </c>
    </row>
    <row r="50" s="388" customFormat="1" ht="12" hidden="1" spans="2:10">
      <c r="B50" s="400">
        <v>32</v>
      </c>
      <c r="C50" s="401">
        <f t="shared" si="0"/>
        <v>0</v>
      </c>
      <c r="D50" s="401">
        <f t="shared" si="1"/>
        <v>0</v>
      </c>
      <c r="E50" s="401">
        <f t="shared" si="2"/>
        <v>0</v>
      </c>
      <c r="F50" s="401">
        <f t="shared" si="3"/>
        <v>0</v>
      </c>
      <c r="G50" s="401">
        <f t="shared" si="4"/>
        <v>0</v>
      </c>
      <c r="H50" s="401">
        <f t="shared" si="5"/>
        <v>0</v>
      </c>
      <c r="I50" s="401">
        <f t="shared" si="6"/>
        <v>0</v>
      </c>
      <c r="J50" s="401">
        <f t="shared" si="7"/>
        <v>0</v>
      </c>
    </row>
    <row r="51" s="388" customFormat="1" ht="12" hidden="1" spans="2:10">
      <c r="B51" s="400">
        <v>33</v>
      </c>
      <c r="C51" s="401">
        <f t="shared" ref="C51:C82" si="8">$I$3/($I$4*12)</f>
        <v>0</v>
      </c>
      <c r="D51" s="401">
        <f t="shared" ref="D51:D82" si="9">ISPMT($I$5/12,B51,$I$4*12,-$I$3)</f>
        <v>0</v>
      </c>
      <c r="E51" s="401">
        <f t="shared" si="2"/>
        <v>0</v>
      </c>
      <c r="F51" s="401">
        <f t="shared" si="3"/>
        <v>0</v>
      </c>
      <c r="G51" s="401">
        <f t="shared" ref="G51:G82" si="10">PPMT($I$5/12,B51,$I$4*12,-$I$3)</f>
        <v>0</v>
      </c>
      <c r="H51" s="401">
        <f t="shared" ref="H51:H82" si="11">IPMT($I$5/12,B51,$I$4*12,-$I$3)</f>
        <v>0</v>
      </c>
      <c r="I51" s="401">
        <f t="shared" si="6"/>
        <v>0</v>
      </c>
      <c r="J51" s="401">
        <f t="shared" si="7"/>
        <v>0</v>
      </c>
    </row>
    <row r="52" s="388" customFormat="1" ht="12" hidden="1" spans="2:10">
      <c r="B52" s="400">
        <v>34</v>
      </c>
      <c r="C52" s="401">
        <f t="shared" si="8"/>
        <v>0</v>
      </c>
      <c r="D52" s="401">
        <f t="shared" si="9"/>
        <v>0</v>
      </c>
      <c r="E52" s="401">
        <f t="shared" si="2"/>
        <v>0</v>
      </c>
      <c r="F52" s="401">
        <f t="shared" si="3"/>
        <v>0</v>
      </c>
      <c r="G52" s="401">
        <f t="shared" si="10"/>
        <v>0</v>
      </c>
      <c r="H52" s="401">
        <f t="shared" si="11"/>
        <v>0</v>
      </c>
      <c r="I52" s="401">
        <f t="shared" si="6"/>
        <v>0</v>
      </c>
      <c r="J52" s="401">
        <f t="shared" si="7"/>
        <v>0</v>
      </c>
    </row>
    <row r="53" s="388" customFormat="1" ht="12" hidden="1" spans="2:10">
      <c r="B53" s="400">
        <v>35</v>
      </c>
      <c r="C53" s="401">
        <f t="shared" si="8"/>
        <v>0</v>
      </c>
      <c r="D53" s="401">
        <f t="shared" si="9"/>
        <v>0</v>
      </c>
      <c r="E53" s="401">
        <f t="shared" si="2"/>
        <v>0</v>
      </c>
      <c r="F53" s="401">
        <f t="shared" si="3"/>
        <v>0</v>
      </c>
      <c r="G53" s="401">
        <f t="shared" si="10"/>
        <v>0</v>
      </c>
      <c r="H53" s="401">
        <f t="shared" si="11"/>
        <v>0</v>
      </c>
      <c r="I53" s="401">
        <f t="shared" si="6"/>
        <v>0</v>
      </c>
      <c r="J53" s="401">
        <f t="shared" si="7"/>
        <v>0</v>
      </c>
    </row>
    <row r="54" s="388" customFormat="1" ht="12" hidden="1" spans="2:10">
      <c r="B54" s="400">
        <v>36</v>
      </c>
      <c r="C54" s="401">
        <f t="shared" si="8"/>
        <v>0</v>
      </c>
      <c r="D54" s="401">
        <f t="shared" si="9"/>
        <v>0</v>
      </c>
      <c r="E54" s="401">
        <f t="shared" si="2"/>
        <v>0</v>
      </c>
      <c r="F54" s="401">
        <f t="shared" si="3"/>
        <v>0</v>
      </c>
      <c r="G54" s="401">
        <f t="shared" si="10"/>
        <v>0</v>
      </c>
      <c r="H54" s="401">
        <f t="shared" si="11"/>
        <v>0</v>
      </c>
      <c r="I54" s="401">
        <f t="shared" si="6"/>
        <v>0</v>
      </c>
      <c r="J54" s="401">
        <f t="shared" si="7"/>
        <v>0</v>
      </c>
    </row>
    <row r="55" s="388" customFormat="1" ht="12" hidden="1" spans="2:10">
      <c r="B55" s="400">
        <v>37</v>
      </c>
      <c r="C55" s="401">
        <f t="shared" si="8"/>
        <v>0</v>
      </c>
      <c r="D55" s="401">
        <f t="shared" si="9"/>
        <v>0</v>
      </c>
      <c r="E55" s="401">
        <f t="shared" si="2"/>
        <v>0</v>
      </c>
      <c r="F55" s="401">
        <f t="shared" si="3"/>
        <v>0</v>
      </c>
      <c r="G55" s="401">
        <f t="shared" si="10"/>
        <v>0</v>
      </c>
      <c r="H55" s="401">
        <f t="shared" si="11"/>
        <v>0</v>
      </c>
      <c r="I55" s="401">
        <f t="shared" si="6"/>
        <v>0</v>
      </c>
      <c r="J55" s="401">
        <f t="shared" si="7"/>
        <v>0</v>
      </c>
    </row>
    <row r="56" s="388" customFormat="1" ht="12" hidden="1" spans="2:10">
      <c r="B56" s="400">
        <v>38</v>
      </c>
      <c r="C56" s="401">
        <f t="shared" si="8"/>
        <v>0</v>
      </c>
      <c r="D56" s="401">
        <f t="shared" si="9"/>
        <v>0</v>
      </c>
      <c r="E56" s="401">
        <f t="shared" si="2"/>
        <v>0</v>
      </c>
      <c r="F56" s="401">
        <f t="shared" si="3"/>
        <v>0</v>
      </c>
      <c r="G56" s="401">
        <f t="shared" si="10"/>
        <v>0</v>
      </c>
      <c r="H56" s="401">
        <f t="shared" si="11"/>
        <v>0</v>
      </c>
      <c r="I56" s="401">
        <f t="shared" si="6"/>
        <v>0</v>
      </c>
      <c r="J56" s="401">
        <f t="shared" si="7"/>
        <v>0</v>
      </c>
    </row>
    <row r="57" s="388" customFormat="1" ht="12" hidden="1" spans="2:10">
      <c r="B57" s="400">
        <v>39</v>
      </c>
      <c r="C57" s="401">
        <f t="shared" si="8"/>
        <v>0</v>
      </c>
      <c r="D57" s="401">
        <f t="shared" si="9"/>
        <v>0</v>
      </c>
      <c r="E57" s="401">
        <f t="shared" si="2"/>
        <v>0</v>
      </c>
      <c r="F57" s="401">
        <f t="shared" si="3"/>
        <v>0</v>
      </c>
      <c r="G57" s="401">
        <f t="shared" si="10"/>
        <v>0</v>
      </c>
      <c r="H57" s="401">
        <f t="shared" si="11"/>
        <v>0</v>
      </c>
      <c r="I57" s="401">
        <f t="shared" si="6"/>
        <v>0</v>
      </c>
      <c r="J57" s="401">
        <f t="shared" si="7"/>
        <v>0</v>
      </c>
    </row>
    <row r="58" s="388" customFormat="1" ht="12" hidden="1" spans="2:10">
      <c r="B58" s="400">
        <v>40</v>
      </c>
      <c r="C58" s="401">
        <f t="shared" si="8"/>
        <v>0</v>
      </c>
      <c r="D58" s="401">
        <f t="shared" si="9"/>
        <v>0</v>
      </c>
      <c r="E58" s="401">
        <f t="shared" si="2"/>
        <v>0</v>
      </c>
      <c r="F58" s="401">
        <f t="shared" si="3"/>
        <v>0</v>
      </c>
      <c r="G58" s="401">
        <f t="shared" si="10"/>
        <v>0</v>
      </c>
      <c r="H58" s="401">
        <f t="shared" si="11"/>
        <v>0</v>
      </c>
      <c r="I58" s="401">
        <f t="shared" si="6"/>
        <v>0</v>
      </c>
      <c r="J58" s="401">
        <f t="shared" si="7"/>
        <v>0</v>
      </c>
    </row>
    <row r="59" s="388" customFormat="1" ht="12" hidden="1" spans="2:10">
      <c r="B59" s="400">
        <v>41</v>
      </c>
      <c r="C59" s="401">
        <f t="shared" si="8"/>
        <v>0</v>
      </c>
      <c r="D59" s="401">
        <f t="shared" si="9"/>
        <v>0</v>
      </c>
      <c r="E59" s="401">
        <f t="shared" si="2"/>
        <v>0</v>
      </c>
      <c r="F59" s="401">
        <f t="shared" si="3"/>
        <v>0</v>
      </c>
      <c r="G59" s="401">
        <f t="shared" si="10"/>
        <v>0</v>
      </c>
      <c r="H59" s="401">
        <f t="shared" si="11"/>
        <v>0</v>
      </c>
      <c r="I59" s="401">
        <f t="shared" si="6"/>
        <v>0</v>
      </c>
      <c r="J59" s="401">
        <f t="shared" si="7"/>
        <v>0</v>
      </c>
    </row>
    <row r="60" s="388" customFormat="1" ht="12" hidden="1" spans="2:10">
      <c r="B60" s="400">
        <v>42</v>
      </c>
      <c r="C60" s="401">
        <f t="shared" si="8"/>
        <v>0</v>
      </c>
      <c r="D60" s="401">
        <f t="shared" si="9"/>
        <v>0</v>
      </c>
      <c r="E60" s="401">
        <f t="shared" si="2"/>
        <v>0</v>
      </c>
      <c r="F60" s="401">
        <f t="shared" si="3"/>
        <v>0</v>
      </c>
      <c r="G60" s="401">
        <f t="shared" si="10"/>
        <v>0</v>
      </c>
      <c r="H60" s="401">
        <f t="shared" si="11"/>
        <v>0</v>
      </c>
      <c r="I60" s="401">
        <f t="shared" si="6"/>
        <v>0</v>
      </c>
      <c r="J60" s="401">
        <f t="shared" si="7"/>
        <v>0</v>
      </c>
    </row>
    <row r="61" s="388" customFormat="1" ht="12" hidden="1" spans="2:10">
      <c r="B61" s="400">
        <v>43</v>
      </c>
      <c r="C61" s="401">
        <f t="shared" si="8"/>
        <v>0</v>
      </c>
      <c r="D61" s="401">
        <f t="shared" si="9"/>
        <v>0</v>
      </c>
      <c r="E61" s="401">
        <f t="shared" si="2"/>
        <v>0</v>
      </c>
      <c r="F61" s="401">
        <f t="shared" si="3"/>
        <v>0</v>
      </c>
      <c r="G61" s="401">
        <f t="shared" si="10"/>
        <v>0</v>
      </c>
      <c r="H61" s="401">
        <f t="shared" si="11"/>
        <v>0</v>
      </c>
      <c r="I61" s="401">
        <f t="shared" si="6"/>
        <v>0</v>
      </c>
      <c r="J61" s="401">
        <f t="shared" si="7"/>
        <v>0</v>
      </c>
    </row>
    <row r="62" s="388" customFormat="1" ht="12" hidden="1" spans="2:10">
      <c r="B62" s="400">
        <v>44</v>
      </c>
      <c r="C62" s="401">
        <f t="shared" si="8"/>
        <v>0</v>
      </c>
      <c r="D62" s="401">
        <f t="shared" si="9"/>
        <v>0</v>
      </c>
      <c r="E62" s="401">
        <f t="shared" si="2"/>
        <v>0</v>
      </c>
      <c r="F62" s="401">
        <f t="shared" si="3"/>
        <v>0</v>
      </c>
      <c r="G62" s="401">
        <f t="shared" si="10"/>
        <v>0</v>
      </c>
      <c r="H62" s="401">
        <f t="shared" si="11"/>
        <v>0</v>
      </c>
      <c r="I62" s="401">
        <f t="shared" si="6"/>
        <v>0</v>
      </c>
      <c r="J62" s="401">
        <f t="shared" si="7"/>
        <v>0</v>
      </c>
    </row>
    <row r="63" s="388" customFormat="1" ht="12" hidden="1" spans="2:10">
      <c r="B63" s="400">
        <v>45</v>
      </c>
      <c r="C63" s="401">
        <f t="shared" si="8"/>
        <v>0</v>
      </c>
      <c r="D63" s="401">
        <f t="shared" si="9"/>
        <v>0</v>
      </c>
      <c r="E63" s="401">
        <f t="shared" si="2"/>
        <v>0</v>
      </c>
      <c r="F63" s="401">
        <f t="shared" si="3"/>
        <v>0</v>
      </c>
      <c r="G63" s="401">
        <f t="shared" si="10"/>
        <v>0</v>
      </c>
      <c r="H63" s="401">
        <f t="shared" si="11"/>
        <v>0</v>
      </c>
      <c r="I63" s="401">
        <f t="shared" si="6"/>
        <v>0</v>
      </c>
      <c r="J63" s="401">
        <f t="shared" si="7"/>
        <v>0</v>
      </c>
    </row>
    <row r="64" s="388" customFormat="1" ht="12" hidden="1" spans="2:10">
      <c r="B64" s="400">
        <v>46</v>
      </c>
      <c r="C64" s="401">
        <f t="shared" si="8"/>
        <v>0</v>
      </c>
      <c r="D64" s="401">
        <f t="shared" si="9"/>
        <v>0</v>
      </c>
      <c r="E64" s="401">
        <f t="shared" si="2"/>
        <v>0</v>
      </c>
      <c r="F64" s="401">
        <f t="shared" si="3"/>
        <v>0</v>
      </c>
      <c r="G64" s="401">
        <f t="shared" si="10"/>
        <v>0</v>
      </c>
      <c r="H64" s="401">
        <f t="shared" si="11"/>
        <v>0</v>
      </c>
      <c r="I64" s="401">
        <f t="shared" si="6"/>
        <v>0</v>
      </c>
      <c r="J64" s="401">
        <f t="shared" si="7"/>
        <v>0</v>
      </c>
    </row>
    <row r="65" s="388" customFormat="1" ht="12" hidden="1" spans="2:10">
      <c r="B65" s="400">
        <v>47</v>
      </c>
      <c r="C65" s="401">
        <f t="shared" si="8"/>
        <v>0</v>
      </c>
      <c r="D65" s="401">
        <f t="shared" si="9"/>
        <v>0</v>
      </c>
      <c r="E65" s="401">
        <f t="shared" si="2"/>
        <v>0</v>
      </c>
      <c r="F65" s="401">
        <f t="shared" si="3"/>
        <v>0</v>
      </c>
      <c r="G65" s="401">
        <f t="shared" si="10"/>
        <v>0</v>
      </c>
      <c r="H65" s="401">
        <f t="shared" si="11"/>
        <v>0</v>
      </c>
      <c r="I65" s="401">
        <f t="shared" si="6"/>
        <v>0</v>
      </c>
      <c r="J65" s="401">
        <f t="shared" si="7"/>
        <v>0</v>
      </c>
    </row>
    <row r="66" s="388" customFormat="1" ht="12" hidden="1" spans="2:10">
      <c r="B66" s="400">
        <v>48</v>
      </c>
      <c r="C66" s="401">
        <f t="shared" si="8"/>
        <v>0</v>
      </c>
      <c r="D66" s="401">
        <f t="shared" si="9"/>
        <v>0</v>
      </c>
      <c r="E66" s="401">
        <f t="shared" si="2"/>
        <v>0</v>
      </c>
      <c r="F66" s="401">
        <f t="shared" si="3"/>
        <v>0</v>
      </c>
      <c r="G66" s="401">
        <f t="shared" si="10"/>
        <v>0</v>
      </c>
      <c r="H66" s="401">
        <f t="shared" si="11"/>
        <v>0</v>
      </c>
      <c r="I66" s="401">
        <f t="shared" si="6"/>
        <v>0</v>
      </c>
      <c r="J66" s="401">
        <f t="shared" si="7"/>
        <v>0</v>
      </c>
    </row>
    <row r="67" s="388" customFormat="1" ht="12" hidden="1" spans="2:10">
      <c r="B67" s="400">
        <v>49</v>
      </c>
      <c r="C67" s="401">
        <f t="shared" si="8"/>
        <v>0</v>
      </c>
      <c r="D67" s="401">
        <f t="shared" si="9"/>
        <v>0</v>
      </c>
      <c r="E67" s="401">
        <f t="shared" si="2"/>
        <v>0</v>
      </c>
      <c r="F67" s="401">
        <f t="shared" si="3"/>
        <v>0</v>
      </c>
      <c r="G67" s="401">
        <f t="shared" si="10"/>
        <v>0</v>
      </c>
      <c r="H67" s="401">
        <f t="shared" si="11"/>
        <v>0</v>
      </c>
      <c r="I67" s="401">
        <f t="shared" si="6"/>
        <v>0</v>
      </c>
      <c r="J67" s="401">
        <f t="shared" si="7"/>
        <v>0</v>
      </c>
    </row>
    <row r="68" s="388" customFormat="1" ht="12" hidden="1" spans="2:10">
      <c r="B68" s="400">
        <v>50</v>
      </c>
      <c r="C68" s="401">
        <f t="shared" si="8"/>
        <v>0</v>
      </c>
      <c r="D68" s="401">
        <f t="shared" si="9"/>
        <v>0</v>
      </c>
      <c r="E68" s="401">
        <f t="shared" si="2"/>
        <v>0</v>
      </c>
      <c r="F68" s="401">
        <f t="shared" si="3"/>
        <v>0</v>
      </c>
      <c r="G68" s="401">
        <f t="shared" si="10"/>
        <v>0</v>
      </c>
      <c r="H68" s="401">
        <f t="shared" si="11"/>
        <v>0</v>
      </c>
      <c r="I68" s="401">
        <f t="shared" si="6"/>
        <v>0</v>
      </c>
      <c r="J68" s="401">
        <f t="shared" si="7"/>
        <v>0</v>
      </c>
    </row>
    <row r="69" s="388" customFormat="1" ht="12" hidden="1" spans="2:10">
      <c r="B69" s="400">
        <v>51</v>
      </c>
      <c r="C69" s="401">
        <f t="shared" si="8"/>
        <v>0</v>
      </c>
      <c r="D69" s="401">
        <f t="shared" si="9"/>
        <v>0</v>
      </c>
      <c r="E69" s="401">
        <f t="shared" si="2"/>
        <v>0</v>
      </c>
      <c r="F69" s="401">
        <f t="shared" si="3"/>
        <v>0</v>
      </c>
      <c r="G69" s="401">
        <f t="shared" si="10"/>
        <v>0</v>
      </c>
      <c r="H69" s="401">
        <f t="shared" si="11"/>
        <v>0</v>
      </c>
      <c r="I69" s="401">
        <f t="shared" si="6"/>
        <v>0</v>
      </c>
      <c r="J69" s="401">
        <f t="shared" si="7"/>
        <v>0</v>
      </c>
    </row>
    <row r="70" s="388" customFormat="1" ht="12" hidden="1" spans="2:10">
      <c r="B70" s="400">
        <v>52</v>
      </c>
      <c r="C70" s="401">
        <f t="shared" si="8"/>
        <v>0</v>
      </c>
      <c r="D70" s="401">
        <f t="shared" si="9"/>
        <v>0</v>
      </c>
      <c r="E70" s="401">
        <f t="shared" si="2"/>
        <v>0</v>
      </c>
      <c r="F70" s="401">
        <f t="shared" si="3"/>
        <v>0</v>
      </c>
      <c r="G70" s="401">
        <f t="shared" si="10"/>
        <v>0</v>
      </c>
      <c r="H70" s="401">
        <f t="shared" si="11"/>
        <v>0</v>
      </c>
      <c r="I70" s="401">
        <f t="shared" si="6"/>
        <v>0</v>
      </c>
      <c r="J70" s="401">
        <f t="shared" si="7"/>
        <v>0</v>
      </c>
    </row>
    <row r="71" s="388" customFormat="1" ht="12" hidden="1" spans="2:10">
      <c r="B71" s="400">
        <v>53</v>
      </c>
      <c r="C71" s="401">
        <f t="shared" si="8"/>
        <v>0</v>
      </c>
      <c r="D71" s="401">
        <f t="shared" si="9"/>
        <v>0</v>
      </c>
      <c r="E71" s="401">
        <f t="shared" si="2"/>
        <v>0</v>
      </c>
      <c r="F71" s="401">
        <f t="shared" si="3"/>
        <v>0</v>
      </c>
      <c r="G71" s="401">
        <f t="shared" si="10"/>
        <v>0</v>
      </c>
      <c r="H71" s="401">
        <f t="shared" si="11"/>
        <v>0</v>
      </c>
      <c r="I71" s="401">
        <f t="shared" si="6"/>
        <v>0</v>
      </c>
      <c r="J71" s="401">
        <f t="shared" si="7"/>
        <v>0</v>
      </c>
    </row>
    <row r="72" s="388" customFormat="1" ht="12" hidden="1" spans="2:10">
      <c r="B72" s="400">
        <v>54</v>
      </c>
      <c r="C72" s="401">
        <f t="shared" si="8"/>
        <v>0</v>
      </c>
      <c r="D72" s="401">
        <f t="shared" si="9"/>
        <v>0</v>
      </c>
      <c r="E72" s="401">
        <f t="shared" si="2"/>
        <v>0</v>
      </c>
      <c r="F72" s="401">
        <f t="shared" si="3"/>
        <v>0</v>
      </c>
      <c r="G72" s="401">
        <f t="shared" si="10"/>
        <v>0</v>
      </c>
      <c r="H72" s="401">
        <f t="shared" si="11"/>
        <v>0</v>
      </c>
      <c r="I72" s="401">
        <f t="shared" si="6"/>
        <v>0</v>
      </c>
      <c r="J72" s="401">
        <f t="shared" si="7"/>
        <v>0</v>
      </c>
    </row>
    <row r="73" s="388" customFormat="1" ht="12" hidden="1" spans="2:10">
      <c r="B73" s="400">
        <v>55</v>
      </c>
      <c r="C73" s="401">
        <f t="shared" si="8"/>
        <v>0</v>
      </c>
      <c r="D73" s="401">
        <f t="shared" si="9"/>
        <v>0</v>
      </c>
      <c r="E73" s="401">
        <f t="shared" si="2"/>
        <v>0</v>
      </c>
      <c r="F73" s="401">
        <f t="shared" si="3"/>
        <v>0</v>
      </c>
      <c r="G73" s="401">
        <f t="shared" si="10"/>
        <v>0</v>
      </c>
      <c r="H73" s="401">
        <f t="shared" si="11"/>
        <v>0</v>
      </c>
      <c r="I73" s="401">
        <f t="shared" si="6"/>
        <v>0</v>
      </c>
      <c r="J73" s="401">
        <f t="shared" si="7"/>
        <v>0</v>
      </c>
    </row>
    <row r="74" s="388" customFormat="1" ht="12" hidden="1" spans="2:10">
      <c r="B74" s="400">
        <v>56</v>
      </c>
      <c r="C74" s="401">
        <f t="shared" si="8"/>
        <v>0</v>
      </c>
      <c r="D74" s="401">
        <f t="shared" si="9"/>
        <v>0</v>
      </c>
      <c r="E74" s="401">
        <f t="shared" si="2"/>
        <v>0</v>
      </c>
      <c r="F74" s="401">
        <f t="shared" si="3"/>
        <v>0</v>
      </c>
      <c r="G74" s="401">
        <f t="shared" si="10"/>
        <v>0</v>
      </c>
      <c r="H74" s="401">
        <f t="shared" si="11"/>
        <v>0</v>
      </c>
      <c r="I74" s="401">
        <f t="shared" si="6"/>
        <v>0</v>
      </c>
      <c r="J74" s="401">
        <f t="shared" si="7"/>
        <v>0</v>
      </c>
    </row>
    <row r="75" s="388" customFormat="1" ht="12" hidden="1" spans="2:10">
      <c r="B75" s="400">
        <v>57</v>
      </c>
      <c r="C75" s="401">
        <f t="shared" si="8"/>
        <v>0</v>
      </c>
      <c r="D75" s="401">
        <f t="shared" si="9"/>
        <v>0</v>
      </c>
      <c r="E75" s="401">
        <f t="shared" si="2"/>
        <v>0</v>
      </c>
      <c r="F75" s="401">
        <f t="shared" si="3"/>
        <v>0</v>
      </c>
      <c r="G75" s="401">
        <f t="shared" si="10"/>
        <v>0</v>
      </c>
      <c r="H75" s="401">
        <f t="shared" si="11"/>
        <v>0</v>
      </c>
      <c r="I75" s="401">
        <f t="shared" si="6"/>
        <v>0</v>
      </c>
      <c r="J75" s="401">
        <f t="shared" si="7"/>
        <v>0</v>
      </c>
    </row>
    <row r="76" s="388" customFormat="1" ht="12" hidden="1" spans="2:10">
      <c r="B76" s="400">
        <v>58</v>
      </c>
      <c r="C76" s="401">
        <f t="shared" si="8"/>
        <v>0</v>
      </c>
      <c r="D76" s="401">
        <f t="shared" si="9"/>
        <v>0</v>
      </c>
      <c r="E76" s="401">
        <f t="shared" si="2"/>
        <v>0</v>
      </c>
      <c r="F76" s="401">
        <f t="shared" si="3"/>
        <v>0</v>
      </c>
      <c r="G76" s="401">
        <f t="shared" si="10"/>
        <v>0</v>
      </c>
      <c r="H76" s="401">
        <f t="shared" si="11"/>
        <v>0</v>
      </c>
      <c r="I76" s="401">
        <f t="shared" si="6"/>
        <v>0</v>
      </c>
      <c r="J76" s="401">
        <f t="shared" si="7"/>
        <v>0</v>
      </c>
    </row>
    <row r="77" s="388" customFormat="1" ht="12" hidden="1" spans="2:10">
      <c r="B77" s="400">
        <v>59</v>
      </c>
      <c r="C77" s="401">
        <f t="shared" si="8"/>
        <v>0</v>
      </c>
      <c r="D77" s="401">
        <f t="shared" si="9"/>
        <v>0</v>
      </c>
      <c r="E77" s="401">
        <f t="shared" si="2"/>
        <v>0</v>
      </c>
      <c r="F77" s="401">
        <f t="shared" si="3"/>
        <v>0</v>
      </c>
      <c r="G77" s="401">
        <f t="shared" si="10"/>
        <v>0</v>
      </c>
      <c r="H77" s="401">
        <f t="shared" si="11"/>
        <v>0</v>
      </c>
      <c r="I77" s="401">
        <f t="shared" si="6"/>
        <v>0</v>
      </c>
      <c r="J77" s="401">
        <f t="shared" si="7"/>
        <v>0</v>
      </c>
    </row>
    <row r="78" s="388" customFormat="1" ht="12" hidden="1" spans="2:10">
      <c r="B78" s="400">
        <v>60</v>
      </c>
      <c r="C78" s="401">
        <f t="shared" si="8"/>
        <v>0</v>
      </c>
      <c r="D78" s="401">
        <f t="shared" si="9"/>
        <v>0</v>
      </c>
      <c r="E78" s="401">
        <f t="shared" si="2"/>
        <v>0</v>
      </c>
      <c r="F78" s="401">
        <f t="shared" si="3"/>
        <v>0</v>
      </c>
      <c r="G78" s="401">
        <f t="shared" si="10"/>
        <v>0</v>
      </c>
      <c r="H78" s="401">
        <f t="shared" si="11"/>
        <v>0</v>
      </c>
      <c r="I78" s="401">
        <f t="shared" si="6"/>
        <v>0</v>
      </c>
      <c r="J78" s="401">
        <f t="shared" si="7"/>
        <v>0</v>
      </c>
    </row>
    <row r="79" s="388" customFormat="1" ht="12" hidden="1" spans="2:10">
      <c r="B79" s="400">
        <v>61</v>
      </c>
      <c r="C79" s="401">
        <f t="shared" si="8"/>
        <v>0</v>
      </c>
      <c r="D79" s="401">
        <f t="shared" si="9"/>
        <v>0</v>
      </c>
      <c r="E79" s="401">
        <f t="shared" si="2"/>
        <v>0</v>
      </c>
      <c r="F79" s="401">
        <f t="shared" si="3"/>
        <v>0</v>
      </c>
      <c r="G79" s="401">
        <f t="shared" si="10"/>
        <v>0</v>
      </c>
      <c r="H79" s="401">
        <f t="shared" si="11"/>
        <v>0</v>
      </c>
      <c r="I79" s="401">
        <f t="shared" si="6"/>
        <v>0</v>
      </c>
      <c r="J79" s="401">
        <f t="shared" si="7"/>
        <v>0</v>
      </c>
    </row>
    <row r="80" s="388" customFormat="1" ht="12" hidden="1" spans="2:10">
      <c r="B80" s="400">
        <v>62</v>
      </c>
      <c r="C80" s="401">
        <f t="shared" si="8"/>
        <v>0</v>
      </c>
      <c r="D80" s="401">
        <f t="shared" si="9"/>
        <v>0</v>
      </c>
      <c r="E80" s="401">
        <f t="shared" si="2"/>
        <v>0</v>
      </c>
      <c r="F80" s="401">
        <f t="shared" si="3"/>
        <v>0</v>
      </c>
      <c r="G80" s="401">
        <f t="shared" si="10"/>
        <v>0</v>
      </c>
      <c r="H80" s="401">
        <f t="shared" si="11"/>
        <v>0</v>
      </c>
      <c r="I80" s="401">
        <f t="shared" si="6"/>
        <v>0</v>
      </c>
      <c r="J80" s="401">
        <f t="shared" si="7"/>
        <v>0</v>
      </c>
    </row>
    <row r="81" s="388" customFormat="1" ht="12" hidden="1" spans="2:10">
      <c r="B81" s="400">
        <v>63</v>
      </c>
      <c r="C81" s="401">
        <f t="shared" si="8"/>
        <v>0</v>
      </c>
      <c r="D81" s="401">
        <f t="shared" si="9"/>
        <v>0</v>
      </c>
      <c r="E81" s="401">
        <f t="shared" si="2"/>
        <v>0</v>
      </c>
      <c r="F81" s="401">
        <f t="shared" si="3"/>
        <v>0</v>
      </c>
      <c r="G81" s="401">
        <f t="shared" si="10"/>
        <v>0</v>
      </c>
      <c r="H81" s="401">
        <f t="shared" si="11"/>
        <v>0</v>
      </c>
      <c r="I81" s="401">
        <f t="shared" si="6"/>
        <v>0</v>
      </c>
      <c r="J81" s="401">
        <f t="shared" si="7"/>
        <v>0</v>
      </c>
    </row>
    <row r="82" s="388" customFormat="1" ht="12" hidden="1" spans="2:10">
      <c r="B82" s="400">
        <v>64</v>
      </c>
      <c r="C82" s="401">
        <f t="shared" si="8"/>
        <v>0</v>
      </c>
      <c r="D82" s="401">
        <f t="shared" si="9"/>
        <v>0</v>
      </c>
      <c r="E82" s="401">
        <f t="shared" si="2"/>
        <v>0</v>
      </c>
      <c r="F82" s="401">
        <f t="shared" si="3"/>
        <v>0</v>
      </c>
      <c r="G82" s="401">
        <f t="shared" si="10"/>
        <v>0</v>
      </c>
      <c r="H82" s="401">
        <f t="shared" si="11"/>
        <v>0</v>
      </c>
      <c r="I82" s="401">
        <f t="shared" si="6"/>
        <v>0</v>
      </c>
      <c r="J82" s="401">
        <f t="shared" si="7"/>
        <v>0</v>
      </c>
    </row>
    <row r="83" s="388" customFormat="1" ht="12" hidden="1" spans="2:10">
      <c r="B83" s="400">
        <v>65</v>
      </c>
      <c r="C83" s="401">
        <f t="shared" ref="C83:C114" si="12">$I$3/($I$4*12)</f>
        <v>0</v>
      </c>
      <c r="D83" s="401">
        <f t="shared" ref="D83:D114" si="13">ISPMT($I$5/12,B83,$I$4*12,-$I$3)</f>
        <v>0</v>
      </c>
      <c r="E83" s="401">
        <f t="shared" ref="E83:E138" si="14">C83+D83</f>
        <v>0</v>
      </c>
      <c r="F83" s="401">
        <f t="shared" ref="F83:F138" si="15">F82-C83</f>
        <v>0</v>
      </c>
      <c r="G83" s="401">
        <f t="shared" ref="G83:G114" si="16">PPMT($I$5/12,B83,$I$4*12,-$I$3)</f>
        <v>0</v>
      </c>
      <c r="H83" s="401">
        <f t="shared" ref="H83:H114" si="17">IPMT($I$5/12,B83,$I$4*12,-$I$3)</f>
        <v>0</v>
      </c>
      <c r="I83" s="401">
        <f t="shared" ref="I83:I138" si="18">G83+H83</f>
        <v>0</v>
      </c>
      <c r="J83" s="401">
        <f t="shared" ref="J83:J138" si="19">J82-G83</f>
        <v>0</v>
      </c>
    </row>
    <row r="84" s="388" customFormat="1" ht="12" hidden="1" spans="2:10">
      <c r="B84" s="400">
        <v>66</v>
      </c>
      <c r="C84" s="401">
        <f t="shared" si="12"/>
        <v>0</v>
      </c>
      <c r="D84" s="401">
        <f t="shared" si="13"/>
        <v>0</v>
      </c>
      <c r="E84" s="401">
        <f t="shared" si="14"/>
        <v>0</v>
      </c>
      <c r="F84" s="401">
        <f t="shared" si="15"/>
        <v>0</v>
      </c>
      <c r="G84" s="401">
        <f t="shared" si="16"/>
        <v>0</v>
      </c>
      <c r="H84" s="401">
        <f t="shared" si="17"/>
        <v>0</v>
      </c>
      <c r="I84" s="401">
        <f t="shared" si="18"/>
        <v>0</v>
      </c>
      <c r="J84" s="401">
        <f t="shared" si="19"/>
        <v>0</v>
      </c>
    </row>
    <row r="85" s="388" customFormat="1" ht="12" hidden="1" spans="2:10">
      <c r="B85" s="400">
        <v>67</v>
      </c>
      <c r="C85" s="401">
        <f t="shared" si="12"/>
        <v>0</v>
      </c>
      <c r="D85" s="401">
        <f t="shared" si="13"/>
        <v>0</v>
      </c>
      <c r="E85" s="401">
        <f t="shared" si="14"/>
        <v>0</v>
      </c>
      <c r="F85" s="401">
        <f t="shared" si="15"/>
        <v>0</v>
      </c>
      <c r="G85" s="401">
        <f t="shared" si="16"/>
        <v>0</v>
      </c>
      <c r="H85" s="401">
        <f t="shared" si="17"/>
        <v>0</v>
      </c>
      <c r="I85" s="401">
        <f t="shared" si="18"/>
        <v>0</v>
      </c>
      <c r="J85" s="401">
        <f t="shared" si="19"/>
        <v>0</v>
      </c>
    </row>
    <row r="86" s="388" customFormat="1" ht="12" hidden="1" spans="2:10">
      <c r="B86" s="400">
        <v>68</v>
      </c>
      <c r="C86" s="401">
        <f t="shared" si="12"/>
        <v>0</v>
      </c>
      <c r="D86" s="401">
        <f t="shared" si="13"/>
        <v>0</v>
      </c>
      <c r="E86" s="401">
        <f t="shared" si="14"/>
        <v>0</v>
      </c>
      <c r="F86" s="401">
        <f t="shared" si="15"/>
        <v>0</v>
      </c>
      <c r="G86" s="401">
        <f t="shared" si="16"/>
        <v>0</v>
      </c>
      <c r="H86" s="401">
        <f t="shared" si="17"/>
        <v>0</v>
      </c>
      <c r="I86" s="401">
        <f t="shared" si="18"/>
        <v>0</v>
      </c>
      <c r="J86" s="401">
        <f t="shared" si="19"/>
        <v>0</v>
      </c>
    </row>
    <row r="87" s="388" customFormat="1" ht="12" hidden="1" spans="2:10">
      <c r="B87" s="400">
        <v>69</v>
      </c>
      <c r="C87" s="401">
        <f t="shared" si="12"/>
        <v>0</v>
      </c>
      <c r="D87" s="401">
        <f t="shared" si="13"/>
        <v>0</v>
      </c>
      <c r="E87" s="401">
        <f t="shared" si="14"/>
        <v>0</v>
      </c>
      <c r="F87" s="401">
        <f t="shared" si="15"/>
        <v>0</v>
      </c>
      <c r="G87" s="401">
        <f t="shared" si="16"/>
        <v>0</v>
      </c>
      <c r="H87" s="401">
        <f t="shared" si="17"/>
        <v>0</v>
      </c>
      <c r="I87" s="401">
        <f t="shared" si="18"/>
        <v>0</v>
      </c>
      <c r="J87" s="401">
        <f t="shared" si="19"/>
        <v>0</v>
      </c>
    </row>
    <row r="88" s="388" customFormat="1" ht="12" hidden="1" spans="2:10">
      <c r="B88" s="400">
        <v>70</v>
      </c>
      <c r="C88" s="401">
        <f t="shared" si="12"/>
        <v>0</v>
      </c>
      <c r="D88" s="401">
        <f t="shared" si="13"/>
        <v>0</v>
      </c>
      <c r="E88" s="401">
        <f t="shared" si="14"/>
        <v>0</v>
      </c>
      <c r="F88" s="401">
        <f t="shared" si="15"/>
        <v>0</v>
      </c>
      <c r="G88" s="401">
        <f t="shared" si="16"/>
        <v>0</v>
      </c>
      <c r="H88" s="401">
        <f t="shared" si="17"/>
        <v>0</v>
      </c>
      <c r="I88" s="401">
        <f t="shared" si="18"/>
        <v>0</v>
      </c>
      <c r="J88" s="401">
        <f t="shared" si="19"/>
        <v>0</v>
      </c>
    </row>
    <row r="89" s="388" customFormat="1" ht="12" hidden="1" spans="2:10">
      <c r="B89" s="400">
        <v>71</v>
      </c>
      <c r="C89" s="401">
        <f t="shared" si="12"/>
        <v>0</v>
      </c>
      <c r="D89" s="401">
        <f t="shared" si="13"/>
        <v>0</v>
      </c>
      <c r="E89" s="401">
        <f t="shared" si="14"/>
        <v>0</v>
      </c>
      <c r="F89" s="401">
        <f t="shared" si="15"/>
        <v>0</v>
      </c>
      <c r="G89" s="401">
        <f t="shared" si="16"/>
        <v>0</v>
      </c>
      <c r="H89" s="401">
        <f t="shared" si="17"/>
        <v>0</v>
      </c>
      <c r="I89" s="401">
        <f t="shared" si="18"/>
        <v>0</v>
      </c>
      <c r="J89" s="401">
        <f t="shared" si="19"/>
        <v>0</v>
      </c>
    </row>
    <row r="90" s="388" customFormat="1" ht="12" hidden="1" spans="2:10">
      <c r="B90" s="400">
        <v>72</v>
      </c>
      <c r="C90" s="401">
        <f t="shared" si="12"/>
        <v>0</v>
      </c>
      <c r="D90" s="401">
        <f t="shared" si="13"/>
        <v>0</v>
      </c>
      <c r="E90" s="401">
        <f t="shared" si="14"/>
        <v>0</v>
      </c>
      <c r="F90" s="401">
        <f t="shared" si="15"/>
        <v>0</v>
      </c>
      <c r="G90" s="401">
        <f t="shared" si="16"/>
        <v>0</v>
      </c>
      <c r="H90" s="401">
        <f t="shared" si="17"/>
        <v>0</v>
      </c>
      <c r="I90" s="401">
        <f t="shared" si="18"/>
        <v>0</v>
      </c>
      <c r="J90" s="401">
        <f t="shared" si="19"/>
        <v>0</v>
      </c>
    </row>
    <row r="91" s="388" customFormat="1" ht="12" hidden="1" spans="2:10">
      <c r="B91" s="400">
        <v>73</v>
      </c>
      <c r="C91" s="401">
        <f t="shared" si="12"/>
        <v>0</v>
      </c>
      <c r="D91" s="401">
        <f t="shared" si="13"/>
        <v>0</v>
      </c>
      <c r="E91" s="401">
        <f t="shared" si="14"/>
        <v>0</v>
      </c>
      <c r="F91" s="401">
        <f t="shared" si="15"/>
        <v>0</v>
      </c>
      <c r="G91" s="401">
        <f t="shared" si="16"/>
        <v>0</v>
      </c>
      <c r="H91" s="401">
        <f t="shared" si="17"/>
        <v>0</v>
      </c>
      <c r="I91" s="401">
        <f t="shared" si="18"/>
        <v>0</v>
      </c>
      <c r="J91" s="401">
        <f t="shared" si="19"/>
        <v>0</v>
      </c>
    </row>
    <row r="92" s="388" customFormat="1" ht="12" hidden="1" spans="2:10">
      <c r="B92" s="400">
        <v>74</v>
      </c>
      <c r="C92" s="401">
        <f t="shared" si="12"/>
        <v>0</v>
      </c>
      <c r="D92" s="401">
        <f t="shared" si="13"/>
        <v>0</v>
      </c>
      <c r="E92" s="401">
        <f t="shared" si="14"/>
        <v>0</v>
      </c>
      <c r="F92" s="401">
        <f t="shared" si="15"/>
        <v>0</v>
      </c>
      <c r="G92" s="401">
        <f t="shared" si="16"/>
        <v>0</v>
      </c>
      <c r="H92" s="401">
        <f t="shared" si="17"/>
        <v>0</v>
      </c>
      <c r="I92" s="401">
        <f t="shared" si="18"/>
        <v>0</v>
      </c>
      <c r="J92" s="401">
        <f t="shared" si="19"/>
        <v>0</v>
      </c>
    </row>
    <row r="93" s="388" customFormat="1" ht="12" hidden="1" spans="2:10">
      <c r="B93" s="400">
        <v>75</v>
      </c>
      <c r="C93" s="401">
        <f t="shared" si="12"/>
        <v>0</v>
      </c>
      <c r="D93" s="401">
        <f t="shared" si="13"/>
        <v>0</v>
      </c>
      <c r="E93" s="401">
        <f t="shared" si="14"/>
        <v>0</v>
      </c>
      <c r="F93" s="401">
        <f t="shared" si="15"/>
        <v>0</v>
      </c>
      <c r="G93" s="401">
        <f t="shared" si="16"/>
        <v>0</v>
      </c>
      <c r="H93" s="401">
        <f t="shared" si="17"/>
        <v>0</v>
      </c>
      <c r="I93" s="401">
        <f t="shared" si="18"/>
        <v>0</v>
      </c>
      <c r="J93" s="401">
        <f t="shared" si="19"/>
        <v>0</v>
      </c>
    </row>
    <row r="94" s="388" customFormat="1" ht="12" hidden="1" spans="2:10">
      <c r="B94" s="400">
        <v>76</v>
      </c>
      <c r="C94" s="401">
        <f t="shared" si="12"/>
        <v>0</v>
      </c>
      <c r="D94" s="401">
        <f t="shared" si="13"/>
        <v>0</v>
      </c>
      <c r="E94" s="401">
        <f t="shared" si="14"/>
        <v>0</v>
      </c>
      <c r="F94" s="401">
        <f t="shared" si="15"/>
        <v>0</v>
      </c>
      <c r="G94" s="401">
        <f t="shared" si="16"/>
        <v>0</v>
      </c>
      <c r="H94" s="401">
        <f t="shared" si="17"/>
        <v>0</v>
      </c>
      <c r="I94" s="401">
        <f t="shared" si="18"/>
        <v>0</v>
      </c>
      <c r="J94" s="401">
        <f t="shared" si="19"/>
        <v>0</v>
      </c>
    </row>
    <row r="95" s="388" customFormat="1" ht="12" hidden="1" spans="2:10">
      <c r="B95" s="400">
        <v>77</v>
      </c>
      <c r="C95" s="401">
        <f t="shared" si="12"/>
        <v>0</v>
      </c>
      <c r="D95" s="401">
        <f t="shared" si="13"/>
        <v>0</v>
      </c>
      <c r="E95" s="401">
        <f t="shared" si="14"/>
        <v>0</v>
      </c>
      <c r="F95" s="401">
        <f t="shared" si="15"/>
        <v>0</v>
      </c>
      <c r="G95" s="401">
        <f t="shared" si="16"/>
        <v>0</v>
      </c>
      <c r="H95" s="401">
        <f t="shared" si="17"/>
        <v>0</v>
      </c>
      <c r="I95" s="401">
        <f t="shared" si="18"/>
        <v>0</v>
      </c>
      <c r="J95" s="401">
        <f t="shared" si="19"/>
        <v>0</v>
      </c>
    </row>
    <row r="96" s="388" customFormat="1" ht="12" hidden="1" spans="2:10">
      <c r="B96" s="400">
        <v>78</v>
      </c>
      <c r="C96" s="401">
        <f t="shared" si="12"/>
        <v>0</v>
      </c>
      <c r="D96" s="401">
        <f t="shared" si="13"/>
        <v>0</v>
      </c>
      <c r="E96" s="401">
        <f t="shared" si="14"/>
        <v>0</v>
      </c>
      <c r="F96" s="401">
        <f t="shared" si="15"/>
        <v>0</v>
      </c>
      <c r="G96" s="401">
        <f t="shared" si="16"/>
        <v>0</v>
      </c>
      <c r="H96" s="401">
        <f t="shared" si="17"/>
        <v>0</v>
      </c>
      <c r="I96" s="401">
        <f t="shared" si="18"/>
        <v>0</v>
      </c>
      <c r="J96" s="401">
        <f t="shared" si="19"/>
        <v>0</v>
      </c>
    </row>
    <row r="97" s="388" customFormat="1" ht="12" hidden="1" spans="2:10">
      <c r="B97" s="400">
        <v>79</v>
      </c>
      <c r="C97" s="401">
        <f t="shared" si="12"/>
        <v>0</v>
      </c>
      <c r="D97" s="401">
        <f t="shared" si="13"/>
        <v>0</v>
      </c>
      <c r="E97" s="401">
        <f t="shared" si="14"/>
        <v>0</v>
      </c>
      <c r="F97" s="401">
        <f t="shared" si="15"/>
        <v>0</v>
      </c>
      <c r="G97" s="401">
        <f t="shared" si="16"/>
        <v>0</v>
      </c>
      <c r="H97" s="401">
        <f t="shared" si="17"/>
        <v>0</v>
      </c>
      <c r="I97" s="401">
        <f t="shared" si="18"/>
        <v>0</v>
      </c>
      <c r="J97" s="401">
        <f t="shared" si="19"/>
        <v>0</v>
      </c>
    </row>
    <row r="98" s="388" customFormat="1" ht="12" hidden="1" spans="2:10">
      <c r="B98" s="400">
        <v>80</v>
      </c>
      <c r="C98" s="401">
        <f t="shared" si="12"/>
        <v>0</v>
      </c>
      <c r="D98" s="401">
        <f t="shared" si="13"/>
        <v>0</v>
      </c>
      <c r="E98" s="401">
        <f t="shared" si="14"/>
        <v>0</v>
      </c>
      <c r="F98" s="401">
        <f t="shared" si="15"/>
        <v>0</v>
      </c>
      <c r="G98" s="401">
        <f t="shared" si="16"/>
        <v>0</v>
      </c>
      <c r="H98" s="401">
        <f t="shared" si="17"/>
        <v>0</v>
      </c>
      <c r="I98" s="401">
        <f t="shared" si="18"/>
        <v>0</v>
      </c>
      <c r="J98" s="401">
        <f t="shared" si="19"/>
        <v>0</v>
      </c>
    </row>
    <row r="99" s="388" customFormat="1" ht="12" hidden="1" spans="2:10">
      <c r="B99" s="400">
        <v>81</v>
      </c>
      <c r="C99" s="401">
        <f t="shared" si="12"/>
        <v>0</v>
      </c>
      <c r="D99" s="401">
        <f t="shared" si="13"/>
        <v>0</v>
      </c>
      <c r="E99" s="401">
        <f t="shared" si="14"/>
        <v>0</v>
      </c>
      <c r="F99" s="401">
        <f t="shared" si="15"/>
        <v>0</v>
      </c>
      <c r="G99" s="401">
        <f t="shared" si="16"/>
        <v>0</v>
      </c>
      <c r="H99" s="401">
        <f t="shared" si="17"/>
        <v>0</v>
      </c>
      <c r="I99" s="401">
        <f t="shared" si="18"/>
        <v>0</v>
      </c>
      <c r="J99" s="401">
        <f t="shared" si="19"/>
        <v>0</v>
      </c>
    </row>
    <row r="100" s="388" customFormat="1" ht="12" hidden="1" spans="2:10">
      <c r="B100" s="400">
        <v>82</v>
      </c>
      <c r="C100" s="401">
        <f t="shared" si="12"/>
        <v>0</v>
      </c>
      <c r="D100" s="401">
        <f t="shared" si="13"/>
        <v>0</v>
      </c>
      <c r="E100" s="401">
        <f t="shared" si="14"/>
        <v>0</v>
      </c>
      <c r="F100" s="401">
        <f t="shared" si="15"/>
        <v>0</v>
      </c>
      <c r="G100" s="401">
        <f t="shared" si="16"/>
        <v>0</v>
      </c>
      <c r="H100" s="401">
        <f t="shared" si="17"/>
        <v>0</v>
      </c>
      <c r="I100" s="401">
        <f t="shared" si="18"/>
        <v>0</v>
      </c>
      <c r="J100" s="401">
        <f t="shared" si="19"/>
        <v>0</v>
      </c>
    </row>
    <row r="101" s="388" customFormat="1" ht="12" hidden="1" spans="2:10">
      <c r="B101" s="400">
        <v>83</v>
      </c>
      <c r="C101" s="401">
        <f t="shared" si="12"/>
        <v>0</v>
      </c>
      <c r="D101" s="401">
        <f t="shared" si="13"/>
        <v>0</v>
      </c>
      <c r="E101" s="401">
        <f t="shared" si="14"/>
        <v>0</v>
      </c>
      <c r="F101" s="401">
        <f t="shared" si="15"/>
        <v>0</v>
      </c>
      <c r="G101" s="401">
        <f t="shared" si="16"/>
        <v>0</v>
      </c>
      <c r="H101" s="401">
        <f t="shared" si="17"/>
        <v>0</v>
      </c>
      <c r="I101" s="401">
        <f t="shared" si="18"/>
        <v>0</v>
      </c>
      <c r="J101" s="401">
        <f t="shared" si="19"/>
        <v>0</v>
      </c>
    </row>
    <row r="102" s="388" customFormat="1" ht="12" hidden="1" spans="2:10">
      <c r="B102" s="400">
        <v>84</v>
      </c>
      <c r="C102" s="401">
        <f t="shared" si="12"/>
        <v>0</v>
      </c>
      <c r="D102" s="401">
        <f t="shared" si="13"/>
        <v>0</v>
      </c>
      <c r="E102" s="401">
        <f t="shared" si="14"/>
        <v>0</v>
      </c>
      <c r="F102" s="401">
        <f t="shared" si="15"/>
        <v>0</v>
      </c>
      <c r="G102" s="401">
        <f t="shared" si="16"/>
        <v>0</v>
      </c>
      <c r="H102" s="401">
        <f t="shared" si="17"/>
        <v>0</v>
      </c>
      <c r="I102" s="401">
        <f t="shared" si="18"/>
        <v>0</v>
      </c>
      <c r="J102" s="401">
        <f t="shared" si="19"/>
        <v>0</v>
      </c>
    </row>
    <row r="103" s="388" customFormat="1" ht="12" hidden="1" spans="2:10">
      <c r="B103" s="400">
        <v>85</v>
      </c>
      <c r="C103" s="401">
        <f t="shared" si="12"/>
        <v>0</v>
      </c>
      <c r="D103" s="401">
        <f t="shared" si="13"/>
        <v>0</v>
      </c>
      <c r="E103" s="401">
        <f t="shared" si="14"/>
        <v>0</v>
      </c>
      <c r="F103" s="401">
        <f t="shared" si="15"/>
        <v>0</v>
      </c>
      <c r="G103" s="401">
        <f t="shared" si="16"/>
        <v>0</v>
      </c>
      <c r="H103" s="401">
        <f t="shared" si="17"/>
        <v>0</v>
      </c>
      <c r="I103" s="401">
        <f t="shared" si="18"/>
        <v>0</v>
      </c>
      <c r="J103" s="401">
        <f t="shared" si="19"/>
        <v>0</v>
      </c>
    </row>
    <row r="104" s="388" customFormat="1" ht="12" hidden="1" spans="2:10">
      <c r="B104" s="400">
        <v>86</v>
      </c>
      <c r="C104" s="401">
        <f t="shared" si="12"/>
        <v>0</v>
      </c>
      <c r="D104" s="401">
        <f t="shared" si="13"/>
        <v>0</v>
      </c>
      <c r="E104" s="401">
        <f t="shared" si="14"/>
        <v>0</v>
      </c>
      <c r="F104" s="401">
        <f t="shared" si="15"/>
        <v>0</v>
      </c>
      <c r="G104" s="401">
        <f t="shared" si="16"/>
        <v>0</v>
      </c>
      <c r="H104" s="401">
        <f t="shared" si="17"/>
        <v>0</v>
      </c>
      <c r="I104" s="401">
        <f t="shared" si="18"/>
        <v>0</v>
      </c>
      <c r="J104" s="401">
        <f t="shared" si="19"/>
        <v>0</v>
      </c>
    </row>
    <row r="105" s="388" customFormat="1" ht="12" hidden="1" spans="2:10">
      <c r="B105" s="400">
        <v>87</v>
      </c>
      <c r="C105" s="401">
        <f t="shared" si="12"/>
        <v>0</v>
      </c>
      <c r="D105" s="401">
        <f t="shared" si="13"/>
        <v>0</v>
      </c>
      <c r="E105" s="401">
        <f t="shared" si="14"/>
        <v>0</v>
      </c>
      <c r="F105" s="401">
        <f t="shared" si="15"/>
        <v>0</v>
      </c>
      <c r="G105" s="401">
        <f t="shared" si="16"/>
        <v>0</v>
      </c>
      <c r="H105" s="401">
        <f t="shared" si="17"/>
        <v>0</v>
      </c>
      <c r="I105" s="401">
        <f t="shared" si="18"/>
        <v>0</v>
      </c>
      <c r="J105" s="401">
        <f t="shared" si="19"/>
        <v>0</v>
      </c>
    </row>
    <row r="106" s="388" customFormat="1" ht="12" hidden="1" spans="2:10">
      <c r="B106" s="400">
        <v>88</v>
      </c>
      <c r="C106" s="401">
        <f t="shared" si="12"/>
        <v>0</v>
      </c>
      <c r="D106" s="401">
        <f t="shared" si="13"/>
        <v>0</v>
      </c>
      <c r="E106" s="401">
        <f t="shared" si="14"/>
        <v>0</v>
      </c>
      <c r="F106" s="401">
        <f t="shared" si="15"/>
        <v>0</v>
      </c>
      <c r="G106" s="401">
        <f t="shared" si="16"/>
        <v>0</v>
      </c>
      <c r="H106" s="401">
        <f t="shared" si="17"/>
        <v>0</v>
      </c>
      <c r="I106" s="401">
        <f t="shared" si="18"/>
        <v>0</v>
      </c>
      <c r="J106" s="401">
        <f t="shared" si="19"/>
        <v>0</v>
      </c>
    </row>
    <row r="107" s="388" customFormat="1" ht="12" hidden="1" spans="2:10">
      <c r="B107" s="400">
        <v>89</v>
      </c>
      <c r="C107" s="401">
        <f t="shared" si="12"/>
        <v>0</v>
      </c>
      <c r="D107" s="401">
        <f t="shared" si="13"/>
        <v>0</v>
      </c>
      <c r="E107" s="401">
        <f t="shared" si="14"/>
        <v>0</v>
      </c>
      <c r="F107" s="401">
        <f t="shared" si="15"/>
        <v>0</v>
      </c>
      <c r="G107" s="401">
        <f t="shared" si="16"/>
        <v>0</v>
      </c>
      <c r="H107" s="401">
        <f t="shared" si="17"/>
        <v>0</v>
      </c>
      <c r="I107" s="401">
        <f t="shared" si="18"/>
        <v>0</v>
      </c>
      <c r="J107" s="401">
        <f t="shared" si="19"/>
        <v>0</v>
      </c>
    </row>
    <row r="108" s="388" customFormat="1" ht="12" hidden="1" spans="2:10">
      <c r="B108" s="400">
        <v>90</v>
      </c>
      <c r="C108" s="401">
        <f t="shared" si="12"/>
        <v>0</v>
      </c>
      <c r="D108" s="401">
        <f t="shared" si="13"/>
        <v>0</v>
      </c>
      <c r="E108" s="401">
        <f t="shared" si="14"/>
        <v>0</v>
      </c>
      <c r="F108" s="401">
        <f t="shared" si="15"/>
        <v>0</v>
      </c>
      <c r="G108" s="401">
        <f t="shared" si="16"/>
        <v>0</v>
      </c>
      <c r="H108" s="401">
        <f t="shared" si="17"/>
        <v>0</v>
      </c>
      <c r="I108" s="401">
        <f t="shared" si="18"/>
        <v>0</v>
      </c>
      <c r="J108" s="401">
        <f t="shared" si="19"/>
        <v>0</v>
      </c>
    </row>
    <row r="109" s="388" customFormat="1" ht="12" hidden="1" spans="2:10">
      <c r="B109" s="400">
        <v>91</v>
      </c>
      <c r="C109" s="401">
        <f t="shared" si="12"/>
        <v>0</v>
      </c>
      <c r="D109" s="401">
        <f t="shared" si="13"/>
        <v>0</v>
      </c>
      <c r="E109" s="401">
        <f t="shared" si="14"/>
        <v>0</v>
      </c>
      <c r="F109" s="401">
        <f t="shared" si="15"/>
        <v>0</v>
      </c>
      <c r="G109" s="401">
        <f t="shared" si="16"/>
        <v>0</v>
      </c>
      <c r="H109" s="401">
        <f t="shared" si="17"/>
        <v>0</v>
      </c>
      <c r="I109" s="401">
        <f t="shared" si="18"/>
        <v>0</v>
      </c>
      <c r="J109" s="401">
        <f t="shared" si="19"/>
        <v>0</v>
      </c>
    </row>
    <row r="110" s="388" customFormat="1" ht="12" hidden="1" spans="2:10">
      <c r="B110" s="400">
        <v>92</v>
      </c>
      <c r="C110" s="401">
        <f t="shared" si="12"/>
        <v>0</v>
      </c>
      <c r="D110" s="401">
        <f t="shared" si="13"/>
        <v>0</v>
      </c>
      <c r="E110" s="401">
        <f t="shared" si="14"/>
        <v>0</v>
      </c>
      <c r="F110" s="401">
        <f t="shared" si="15"/>
        <v>0</v>
      </c>
      <c r="G110" s="401">
        <f t="shared" si="16"/>
        <v>0</v>
      </c>
      <c r="H110" s="401">
        <f t="shared" si="17"/>
        <v>0</v>
      </c>
      <c r="I110" s="401">
        <f t="shared" si="18"/>
        <v>0</v>
      </c>
      <c r="J110" s="401">
        <f t="shared" si="19"/>
        <v>0</v>
      </c>
    </row>
    <row r="111" s="388" customFormat="1" ht="12" hidden="1" spans="2:10">
      <c r="B111" s="400">
        <v>93</v>
      </c>
      <c r="C111" s="401">
        <f t="shared" si="12"/>
        <v>0</v>
      </c>
      <c r="D111" s="401">
        <f t="shared" si="13"/>
        <v>0</v>
      </c>
      <c r="E111" s="401">
        <f t="shared" si="14"/>
        <v>0</v>
      </c>
      <c r="F111" s="401">
        <f t="shared" si="15"/>
        <v>0</v>
      </c>
      <c r="G111" s="401">
        <f t="shared" si="16"/>
        <v>0</v>
      </c>
      <c r="H111" s="401">
        <f t="shared" si="17"/>
        <v>0</v>
      </c>
      <c r="I111" s="401">
        <f t="shared" si="18"/>
        <v>0</v>
      </c>
      <c r="J111" s="401">
        <f t="shared" si="19"/>
        <v>0</v>
      </c>
    </row>
    <row r="112" s="388" customFormat="1" ht="12" hidden="1" spans="2:10">
      <c r="B112" s="400">
        <v>94</v>
      </c>
      <c r="C112" s="401">
        <f t="shared" si="12"/>
        <v>0</v>
      </c>
      <c r="D112" s="401">
        <f t="shared" si="13"/>
        <v>0</v>
      </c>
      <c r="E112" s="401">
        <f t="shared" si="14"/>
        <v>0</v>
      </c>
      <c r="F112" s="401">
        <f t="shared" si="15"/>
        <v>0</v>
      </c>
      <c r="G112" s="401">
        <f t="shared" si="16"/>
        <v>0</v>
      </c>
      <c r="H112" s="401">
        <f t="shared" si="17"/>
        <v>0</v>
      </c>
      <c r="I112" s="401">
        <f t="shared" si="18"/>
        <v>0</v>
      </c>
      <c r="J112" s="401">
        <f t="shared" si="19"/>
        <v>0</v>
      </c>
    </row>
    <row r="113" s="388" customFormat="1" ht="12" hidden="1" spans="2:10">
      <c r="B113" s="400">
        <v>95</v>
      </c>
      <c r="C113" s="401">
        <f t="shared" si="12"/>
        <v>0</v>
      </c>
      <c r="D113" s="401">
        <f t="shared" si="13"/>
        <v>0</v>
      </c>
      <c r="E113" s="401">
        <f t="shared" si="14"/>
        <v>0</v>
      </c>
      <c r="F113" s="401">
        <f t="shared" si="15"/>
        <v>0</v>
      </c>
      <c r="G113" s="401">
        <f t="shared" si="16"/>
        <v>0</v>
      </c>
      <c r="H113" s="401">
        <f t="shared" si="17"/>
        <v>0</v>
      </c>
      <c r="I113" s="401">
        <f t="shared" si="18"/>
        <v>0</v>
      </c>
      <c r="J113" s="401">
        <f t="shared" si="19"/>
        <v>0</v>
      </c>
    </row>
    <row r="114" s="388" customFormat="1" ht="12" hidden="1" spans="2:10">
      <c r="B114" s="400">
        <v>96</v>
      </c>
      <c r="C114" s="401">
        <f t="shared" si="12"/>
        <v>0</v>
      </c>
      <c r="D114" s="401">
        <f t="shared" si="13"/>
        <v>0</v>
      </c>
      <c r="E114" s="401">
        <f t="shared" si="14"/>
        <v>0</v>
      </c>
      <c r="F114" s="401">
        <f t="shared" si="15"/>
        <v>0</v>
      </c>
      <c r="G114" s="401">
        <f t="shared" si="16"/>
        <v>0</v>
      </c>
      <c r="H114" s="401">
        <f t="shared" si="17"/>
        <v>0</v>
      </c>
      <c r="I114" s="401">
        <f t="shared" si="18"/>
        <v>0</v>
      </c>
      <c r="J114" s="401">
        <f t="shared" si="19"/>
        <v>0</v>
      </c>
    </row>
    <row r="115" s="388" customFormat="1" ht="12" hidden="1" spans="2:10">
      <c r="B115" s="400">
        <v>97</v>
      </c>
      <c r="C115" s="401">
        <f t="shared" ref="C115:C138" si="20">$I$3/($I$4*12)</f>
        <v>0</v>
      </c>
      <c r="D115" s="401">
        <f t="shared" ref="D115:D138" si="21">ISPMT($I$5/12,B115,$I$4*12,-$I$3)</f>
        <v>0</v>
      </c>
      <c r="E115" s="401">
        <f t="shared" si="14"/>
        <v>0</v>
      </c>
      <c r="F115" s="401">
        <f t="shared" si="15"/>
        <v>0</v>
      </c>
      <c r="G115" s="401">
        <f t="shared" ref="G115:G138" si="22">PPMT($I$5/12,B115,$I$4*12,-$I$3)</f>
        <v>0</v>
      </c>
      <c r="H115" s="401">
        <f t="shared" ref="H115:H138" si="23">IPMT($I$5/12,B115,$I$4*12,-$I$3)</f>
        <v>0</v>
      </c>
      <c r="I115" s="401">
        <f t="shared" si="18"/>
        <v>0</v>
      </c>
      <c r="J115" s="401">
        <f t="shared" si="19"/>
        <v>0</v>
      </c>
    </row>
    <row r="116" s="388" customFormat="1" ht="12" hidden="1" spans="2:10">
      <c r="B116" s="400">
        <v>98</v>
      </c>
      <c r="C116" s="401">
        <f t="shared" si="20"/>
        <v>0</v>
      </c>
      <c r="D116" s="401">
        <f t="shared" si="21"/>
        <v>0</v>
      </c>
      <c r="E116" s="401">
        <f t="shared" si="14"/>
        <v>0</v>
      </c>
      <c r="F116" s="401">
        <f t="shared" si="15"/>
        <v>0</v>
      </c>
      <c r="G116" s="401">
        <f t="shared" si="22"/>
        <v>0</v>
      </c>
      <c r="H116" s="401">
        <f t="shared" si="23"/>
        <v>0</v>
      </c>
      <c r="I116" s="401">
        <f t="shared" si="18"/>
        <v>0</v>
      </c>
      <c r="J116" s="401">
        <f t="shared" si="19"/>
        <v>0</v>
      </c>
    </row>
    <row r="117" s="388" customFormat="1" ht="12" hidden="1" spans="2:10">
      <c r="B117" s="400">
        <v>99</v>
      </c>
      <c r="C117" s="401">
        <f t="shared" si="20"/>
        <v>0</v>
      </c>
      <c r="D117" s="401">
        <f t="shared" si="21"/>
        <v>0</v>
      </c>
      <c r="E117" s="401">
        <f t="shared" si="14"/>
        <v>0</v>
      </c>
      <c r="F117" s="401">
        <f t="shared" si="15"/>
        <v>0</v>
      </c>
      <c r="G117" s="401">
        <f t="shared" si="22"/>
        <v>0</v>
      </c>
      <c r="H117" s="401">
        <f t="shared" si="23"/>
        <v>0</v>
      </c>
      <c r="I117" s="401">
        <f t="shared" si="18"/>
        <v>0</v>
      </c>
      <c r="J117" s="401">
        <f t="shared" si="19"/>
        <v>0</v>
      </c>
    </row>
    <row r="118" s="388" customFormat="1" ht="12" hidden="1" spans="2:10">
      <c r="B118" s="400">
        <v>100</v>
      </c>
      <c r="C118" s="401">
        <f t="shared" si="20"/>
        <v>0</v>
      </c>
      <c r="D118" s="401">
        <f t="shared" si="21"/>
        <v>0</v>
      </c>
      <c r="E118" s="401">
        <f t="shared" si="14"/>
        <v>0</v>
      </c>
      <c r="F118" s="401">
        <f t="shared" si="15"/>
        <v>0</v>
      </c>
      <c r="G118" s="401">
        <f t="shared" si="22"/>
        <v>0</v>
      </c>
      <c r="H118" s="401">
        <f t="shared" si="23"/>
        <v>0</v>
      </c>
      <c r="I118" s="401">
        <f t="shared" si="18"/>
        <v>0</v>
      </c>
      <c r="J118" s="401">
        <f t="shared" si="19"/>
        <v>0</v>
      </c>
    </row>
    <row r="119" s="388" customFormat="1" ht="12" hidden="1" spans="2:10">
      <c r="B119" s="400">
        <v>101</v>
      </c>
      <c r="C119" s="401">
        <f t="shared" si="20"/>
        <v>0</v>
      </c>
      <c r="D119" s="401">
        <f t="shared" si="21"/>
        <v>0</v>
      </c>
      <c r="E119" s="401">
        <f t="shared" si="14"/>
        <v>0</v>
      </c>
      <c r="F119" s="401">
        <f t="shared" si="15"/>
        <v>0</v>
      </c>
      <c r="G119" s="401">
        <f t="shared" si="22"/>
        <v>0</v>
      </c>
      <c r="H119" s="401">
        <f t="shared" si="23"/>
        <v>0</v>
      </c>
      <c r="I119" s="401">
        <f t="shared" si="18"/>
        <v>0</v>
      </c>
      <c r="J119" s="401">
        <f t="shared" si="19"/>
        <v>0</v>
      </c>
    </row>
    <row r="120" s="388" customFormat="1" ht="12" hidden="1" spans="2:10">
      <c r="B120" s="400">
        <v>102</v>
      </c>
      <c r="C120" s="401">
        <f t="shared" si="20"/>
        <v>0</v>
      </c>
      <c r="D120" s="401">
        <f t="shared" si="21"/>
        <v>0</v>
      </c>
      <c r="E120" s="401">
        <f t="shared" si="14"/>
        <v>0</v>
      </c>
      <c r="F120" s="401">
        <f t="shared" si="15"/>
        <v>0</v>
      </c>
      <c r="G120" s="401">
        <f t="shared" si="22"/>
        <v>0</v>
      </c>
      <c r="H120" s="401">
        <f t="shared" si="23"/>
        <v>0</v>
      </c>
      <c r="I120" s="401">
        <f t="shared" si="18"/>
        <v>0</v>
      </c>
      <c r="J120" s="401">
        <f t="shared" si="19"/>
        <v>0</v>
      </c>
    </row>
    <row r="121" s="388" customFormat="1" ht="12" hidden="1" spans="2:10">
      <c r="B121" s="400">
        <v>103</v>
      </c>
      <c r="C121" s="401">
        <f t="shared" si="20"/>
        <v>0</v>
      </c>
      <c r="D121" s="401">
        <f t="shared" si="21"/>
        <v>0</v>
      </c>
      <c r="E121" s="401">
        <f t="shared" si="14"/>
        <v>0</v>
      </c>
      <c r="F121" s="401">
        <f t="shared" si="15"/>
        <v>0</v>
      </c>
      <c r="G121" s="401">
        <f t="shared" si="22"/>
        <v>0</v>
      </c>
      <c r="H121" s="401">
        <f t="shared" si="23"/>
        <v>0</v>
      </c>
      <c r="I121" s="401">
        <f t="shared" si="18"/>
        <v>0</v>
      </c>
      <c r="J121" s="401">
        <f t="shared" si="19"/>
        <v>0</v>
      </c>
    </row>
    <row r="122" s="388" customFormat="1" ht="12" hidden="1" spans="2:10">
      <c r="B122" s="400">
        <v>104</v>
      </c>
      <c r="C122" s="401">
        <f t="shared" si="20"/>
        <v>0</v>
      </c>
      <c r="D122" s="401">
        <f t="shared" si="21"/>
        <v>0</v>
      </c>
      <c r="E122" s="401">
        <f t="shared" si="14"/>
        <v>0</v>
      </c>
      <c r="F122" s="401">
        <f t="shared" si="15"/>
        <v>0</v>
      </c>
      <c r="G122" s="401">
        <f t="shared" si="22"/>
        <v>0</v>
      </c>
      <c r="H122" s="401">
        <f t="shared" si="23"/>
        <v>0</v>
      </c>
      <c r="I122" s="401">
        <f t="shared" si="18"/>
        <v>0</v>
      </c>
      <c r="J122" s="401">
        <f t="shared" si="19"/>
        <v>0</v>
      </c>
    </row>
    <row r="123" s="388" customFormat="1" ht="12" hidden="1" spans="2:10">
      <c r="B123" s="400">
        <v>105</v>
      </c>
      <c r="C123" s="401">
        <f t="shared" si="20"/>
        <v>0</v>
      </c>
      <c r="D123" s="401">
        <f t="shared" si="21"/>
        <v>0</v>
      </c>
      <c r="E123" s="401">
        <f t="shared" si="14"/>
        <v>0</v>
      </c>
      <c r="F123" s="401">
        <f t="shared" si="15"/>
        <v>0</v>
      </c>
      <c r="G123" s="401">
        <f t="shared" si="22"/>
        <v>0</v>
      </c>
      <c r="H123" s="401">
        <f t="shared" si="23"/>
        <v>0</v>
      </c>
      <c r="I123" s="401">
        <f t="shared" si="18"/>
        <v>0</v>
      </c>
      <c r="J123" s="401">
        <f t="shared" si="19"/>
        <v>0</v>
      </c>
    </row>
    <row r="124" s="388" customFormat="1" ht="12" hidden="1" spans="2:10">
      <c r="B124" s="400">
        <v>106</v>
      </c>
      <c r="C124" s="401">
        <f t="shared" si="20"/>
        <v>0</v>
      </c>
      <c r="D124" s="401">
        <f t="shared" si="21"/>
        <v>0</v>
      </c>
      <c r="E124" s="401">
        <f t="shared" si="14"/>
        <v>0</v>
      </c>
      <c r="F124" s="401">
        <f t="shared" si="15"/>
        <v>0</v>
      </c>
      <c r="G124" s="401">
        <f t="shared" si="22"/>
        <v>0</v>
      </c>
      <c r="H124" s="401">
        <f t="shared" si="23"/>
        <v>0</v>
      </c>
      <c r="I124" s="401">
        <f t="shared" si="18"/>
        <v>0</v>
      </c>
      <c r="J124" s="401">
        <f t="shared" si="19"/>
        <v>0</v>
      </c>
    </row>
    <row r="125" s="388" customFormat="1" ht="12" hidden="1" spans="2:10">
      <c r="B125" s="400">
        <v>107</v>
      </c>
      <c r="C125" s="401">
        <f t="shared" si="20"/>
        <v>0</v>
      </c>
      <c r="D125" s="401">
        <f t="shared" si="21"/>
        <v>0</v>
      </c>
      <c r="E125" s="401">
        <f t="shared" si="14"/>
        <v>0</v>
      </c>
      <c r="F125" s="401">
        <f t="shared" si="15"/>
        <v>0</v>
      </c>
      <c r="G125" s="401">
        <f t="shared" si="22"/>
        <v>0</v>
      </c>
      <c r="H125" s="401">
        <f t="shared" si="23"/>
        <v>0</v>
      </c>
      <c r="I125" s="401">
        <f t="shared" si="18"/>
        <v>0</v>
      </c>
      <c r="J125" s="401">
        <f t="shared" si="19"/>
        <v>0</v>
      </c>
    </row>
    <row r="126" s="388" customFormat="1" ht="12" hidden="1" spans="2:10">
      <c r="B126" s="400">
        <v>108</v>
      </c>
      <c r="C126" s="401">
        <f t="shared" si="20"/>
        <v>0</v>
      </c>
      <c r="D126" s="401">
        <f t="shared" si="21"/>
        <v>0</v>
      </c>
      <c r="E126" s="401">
        <f t="shared" si="14"/>
        <v>0</v>
      </c>
      <c r="F126" s="401">
        <f t="shared" si="15"/>
        <v>0</v>
      </c>
      <c r="G126" s="401">
        <f t="shared" si="22"/>
        <v>0</v>
      </c>
      <c r="H126" s="401">
        <f t="shared" si="23"/>
        <v>0</v>
      </c>
      <c r="I126" s="401">
        <f t="shared" si="18"/>
        <v>0</v>
      </c>
      <c r="J126" s="401">
        <f t="shared" si="19"/>
        <v>0</v>
      </c>
    </row>
    <row r="127" s="388" customFormat="1" ht="12" hidden="1" spans="2:10">
      <c r="B127" s="400">
        <v>109</v>
      </c>
      <c r="C127" s="401">
        <f t="shared" si="20"/>
        <v>0</v>
      </c>
      <c r="D127" s="401">
        <f t="shared" si="21"/>
        <v>0</v>
      </c>
      <c r="E127" s="401">
        <f t="shared" si="14"/>
        <v>0</v>
      </c>
      <c r="F127" s="401">
        <f t="shared" si="15"/>
        <v>0</v>
      </c>
      <c r="G127" s="401">
        <f t="shared" si="22"/>
        <v>0</v>
      </c>
      <c r="H127" s="401">
        <f t="shared" si="23"/>
        <v>0</v>
      </c>
      <c r="I127" s="401">
        <f t="shared" si="18"/>
        <v>0</v>
      </c>
      <c r="J127" s="401">
        <f t="shared" si="19"/>
        <v>0</v>
      </c>
    </row>
    <row r="128" s="388" customFormat="1" ht="12" hidden="1" spans="2:10">
      <c r="B128" s="400">
        <v>110</v>
      </c>
      <c r="C128" s="401">
        <f t="shared" si="20"/>
        <v>0</v>
      </c>
      <c r="D128" s="401">
        <f t="shared" si="21"/>
        <v>0</v>
      </c>
      <c r="E128" s="401">
        <f t="shared" si="14"/>
        <v>0</v>
      </c>
      <c r="F128" s="401">
        <f t="shared" si="15"/>
        <v>0</v>
      </c>
      <c r="G128" s="401">
        <f t="shared" si="22"/>
        <v>0</v>
      </c>
      <c r="H128" s="401">
        <f t="shared" si="23"/>
        <v>0</v>
      </c>
      <c r="I128" s="401">
        <f t="shared" si="18"/>
        <v>0</v>
      </c>
      <c r="J128" s="401">
        <f t="shared" si="19"/>
        <v>0</v>
      </c>
    </row>
    <row r="129" s="388" customFormat="1" ht="12" hidden="1" spans="2:10">
      <c r="B129" s="400">
        <v>111</v>
      </c>
      <c r="C129" s="401">
        <f t="shared" si="20"/>
        <v>0</v>
      </c>
      <c r="D129" s="401">
        <f t="shared" si="21"/>
        <v>0</v>
      </c>
      <c r="E129" s="401">
        <f t="shared" si="14"/>
        <v>0</v>
      </c>
      <c r="F129" s="401">
        <f t="shared" si="15"/>
        <v>0</v>
      </c>
      <c r="G129" s="401">
        <f t="shared" si="22"/>
        <v>0</v>
      </c>
      <c r="H129" s="401">
        <f t="shared" si="23"/>
        <v>0</v>
      </c>
      <c r="I129" s="401">
        <f t="shared" si="18"/>
        <v>0</v>
      </c>
      <c r="J129" s="401">
        <f t="shared" si="19"/>
        <v>0</v>
      </c>
    </row>
    <row r="130" s="388" customFormat="1" ht="12" hidden="1" spans="2:10">
      <c r="B130" s="400">
        <v>112</v>
      </c>
      <c r="C130" s="401">
        <f t="shared" si="20"/>
        <v>0</v>
      </c>
      <c r="D130" s="401">
        <f t="shared" si="21"/>
        <v>0</v>
      </c>
      <c r="E130" s="401">
        <f t="shared" si="14"/>
        <v>0</v>
      </c>
      <c r="F130" s="401">
        <f t="shared" si="15"/>
        <v>0</v>
      </c>
      <c r="G130" s="401">
        <f t="shared" si="22"/>
        <v>0</v>
      </c>
      <c r="H130" s="401">
        <f t="shared" si="23"/>
        <v>0</v>
      </c>
      <c r="I130" s="401">
        <f t="shared" si="18"/>
        <v>0</v>
      </c>
      <c r="J130" s="401">
        <f t="shared" si="19"/>
        <v>0</v>
      </c>
    </row>
    <row r="131" s="388" customFormat="1" ht="12" hidden="1" spans="2:10">
      <c r="B131" s="400">
        <v>113</v>
      </c>
      <c r="C131" s="401">
        <f t="shared" si="20"/>
        <v>0</v>
      </c>
      <c r="D131" s="401">
        <f t="shared" si="21"/>
        <v>0</v>
      </c>
      <c r="E131" s="401">
        <f t="shared" si="14"/>
        <v>0</v>
      </c>
      <c r="F131" s="401">
        <f t="shared" si="15"/>
        <v>0</v>
      </c>
      <c r="G131" s="401">
        <f t="shared" si="22"/>
        <v>0</v>
      </c>
      <c r="H131" s="401">
        <f t="shared" si="23"/>
        <v>0</v>
      </c>
      <c r="I131" s="401">
        <f t="shared" si="18"/>
        <v>0</v>
      </c>
      <c r="J131" s="401">
        <f t="shared" si="19"/>
        <v>0</v>
      </c>
    </row>
    <row r="132" s="388" customFormat="1" ht="12" hidden="1" spans="2:10">
      <c r="B132" s="400">
        <v>114</v>
      </c>
      <c r="C132" s="401">
        <f t="shared" si="20"/>
        <v>0</v>
      </c>
      <c r="D132" s="401">
        <f t="shared" si="21"/>
        <v>0</v>
      </c>
      <c r="E132" s="401">
        <f t="shared" si="14"/>
        <v>0</v>
      </c>
      <c r="F132" s="401">
        <f t="shared" si="15"/>
        <v>0</v>
      </c>
      <c r="G132" s="401">
        <f t="shared" si="22"/>
        <v>0</v>
      </c>
      <c r="H132" s="401">
        <f t="shared" si="23"/>
        <v>0</v>
      </c>
      <c r="I132" s="401">
        <f t="shared" si="18"/>
        <v>0</v>
      </c>
      <c r="J132" s="401">
        <f t="shared" si="19"/>
        <v>0</v>
      </c>
    </row>
    <row r="133" s="388" customFormat="1" ht="12" hidden="1" spans="2:10">
      <c r="B133" s="400">
        <v>115</v>
      </c>
      <c r="C133" s="401">
        <f t="shared" si="20"/>
        <v>0</v>
      </c>
      <c r="D133" s="401">
        <f t="shared" si="21"/>
        <v>0</v>
      </c>
      <c r="E133" s="401">
        <f t="shared" si="14"/>
        <v>0</v>
      </c>
      <c r="F133" s="401">
        <f t="shared" si="15"/>
        <v>0</v>
      </c>
      <c r="G133" s="401">
        <f t="shared" si="22"/>
        <v>0</v>
      </c>
      <c r="H133" s="401">
        <f t="shared" si="23"/>
        <v>0</v>
      </c>
      <c r="I133" s="401">
        <f t="shared" si="18"/>
        <v>0</v>
      </c>
      <c r="J133" s="401">
        <f t="shared" si="19"/>
        <v>0</v>
      </c>
    </row>
    <row r="134" s="388" customFormat="1" ht="12" hidden="1" spans="2:10">
      <c r="B134" s="400">
        <v>116</v>
      </c>
      <c r="C134" s="401">
        <f t="shared" si="20"/>
        <v>0</v>
      </c>
      <c r="D134" s="401">
        <f t="shared" si="21"/>
        <v>0</v>
      </c>
      <c r="E134" s="401">
        <f t="shared" si="14"/>
        <v>0</v>
      </c>
      <c r="F134" s="401">
        <f t="shared" si="15"/>
        <v>0</v>
      </c>
      <c r="G134" s="401">
        <f t="shared" si="22"/>
        <v>0</v>
      </c>
      <c r="H134" s="401">
        <f t="shared" si="23"/>
        <v>0</v>
      </c>
      <c r="I134" s="401">
        <f t="shared" si="18"/>
        <v>0</v>
      </c>
      <c r="J134" s="401">
        <f t="shared" si="19"/>
        <v>0</v>
      </c>
    </row>
    <row r="135" s="388" customFormat="1" ht="12" hidden="1" spans="2:10">
      <c r="B135" s="400">
        <v>117</v>
      </c>
      <c r="C135" s="401">
        <f t="shared" si="20"/>
        <v>0</v>
      </c>
      <c r="D135" s="401">
        <f t="shared" si="21"/>
        <v>0</v>
      </c>
      <c r="E135" s="401">
        <f t="shared" si="14"/>
        <v>0</v>
      </c>
      <c r="F135" s="401">
        <f t="shared" si="15"/>
        <v>0</v>
      </c>
      <c r="G135" s="401">
        <f t="shared" si="22"/>
        <v>0</v>
      </c>
      <c r="H135" s="401">
        <f t="shared" si="23"/>
        <v>0</v>
      </c>
      <c r="I135" s="401">
        <f t="shared" si="18"/>
        <v>0</v>
      </c>
      <c r="J135" s="401">
        <f t="shared" si="19"/>
        <v>0</v>
      </c>
    </row>
    <row r="136" s="388" customFormat="1" ht="12" spans="2:10">
      <c r="B136" s="400">
        <v>118</v>
      </c>
      <c r="C136" s="401">
        <f t="shared" si="20"/>
        <v>0</v>
      </c>
      <c r="D136" s="401">
        <f t="shared" si="21"/>
        <v>0</v>
      </c>
      <c r="E136" s="401">
        <f t="shared" si="14"/>
        <v>0</v>
      </c>
      <c r="F136" s="401">
        <f t="shared" si="15"/>
        <v>0</v>
      </c>
      <c r="G136" s="401">
        <f t="shared" si="22"/>
        <v>0</v>
      </c>
      <c r="H136" s="401">
        <f t="shared" si="23"/>
        <v>0</v>
      </c>
      <c r="I136" s="401">
        <f t="shared" si="18"/>
        <v>0</v>
      </c>
      <c r="J136" s="401">
        <f t="shared" si="19"/>
        <v>0</v>
      </c>
    </row>
    <row r="137" s="388" customFormat="1" ht="12" spans="2:10">
      <c r="B137" s="400">
        <v>119</v>
      </c>
      <c r="C137" s="401">
        <f t="shared" si="20"/>
        <v>0</v>
      </c>
      <c r="D137" s="401">
        <f t="shared" si="21"/>
        <v>0</v>
      </c>
      <c r="E137" s="401">
        <f t="shared" si="14"/>
        <v>0</v>
      </c>
      <c r="F137" s="401">
        <f t="shared" si="15"/>
        <v>0</v>
      </c>
      <c r="G137" s="401">
        <f t="shared" si="22"/>
        <v>0</v>
      </c>
      <c r="H137" s="401">
        <f t="shared" si="23"/>
        <v>0</v>
      </c>
      <c r="I137" s="401">
        <f t="shared" si="18"/>
        <v>0</v>
      </c>
      <c r="J137" s="401">
        <f t="shared" si="19"/>
        <v>0</v>
      </c>
    </row>
    <row r="138" s="388" customFormat="1" ht="12" spans="2:10">
      <c r="B138" s="400">
        <v>120</v>
      </c>
      <c r="C138" s="401">
        <f t="shared" si="20"/>
        <v>0</v>
      </c>
      <c r="D138" s="401">
        <f t="shared" si="21"/>
        <v>0</v>
      </c>
      <c r="E138" s="401">
        <f t="shared" si="14"/>
        <v>0</v>
      </c>
      <c r="F138" s="401">
        <f t="shared" si="15"/>
        <v>0</v>
      </c>
      <c r="G138" s="401">
        <f t="shared" si="22"/>
        <v>0</v>
      </c>
      <c r="H138" s="401">
        <f t="shared" si="23"/>
        <v>0</v>
      </c>
      <c r="I138" s="401">
        <f t="shared" si="18"/>
        <v>0</v>
      </c>
      <c r="J138" s="413">
        <f t="shared" si="19"/>
        <v>0</v>
      </c>
    </row>
    <row r="139" s="388" customFormat="1" ht="12" spans="2:10">
      <c r="B139" s="399" t="s">
        <v>1108</v>
      </c>
      <c r="C139" s="401">
        <f t="shared" ref="C139:H139" si="24">SUM(C18:C138)</f>
        <v>0</v>
      </c>
      <c r="D139" s="401">
        <f t="shared" si="24"/>
        <v>0</v>
      </c>
      <c r="E139" s="411"/>
      <c r="F139" s="411"/>
      <c r="G139" s="401">
        <f t="shared" si="24"/>
        <v>0</v>
      </c>
      <c r="H139" s="401">
        <f t="shared" si="24"/>
        <v>0</v>
      </c>
      <c r="I139" s="411"/>
      <c r="J139" s="411"/>
    </row>
    <row r="140" spans="2:10">
      <c r="B140" s="412"/>
      <c r="C140" s="412"/>
      <c r="D140" s="412"/>
      <c r="E140" s="412"/>
      <c r="F140" s="412"/>
      <c r="G140" s="412"/>
      <c r="H140" s="412"/>
      <c r="I140" s="412"/>
      <c r="J140" s="412"/>
    </row>
  </sheetData>
  <mergeCells count="5">
    <mergeCell ref="B15:J15"/>
    <mergeCell ref="B16:F16"/>
    <mergeCell ref="G16:J16"/>
    <mergeCell ref="B140:J140"/>
    <mergeCell ref="G1:G12"/>
  </mergeCells>
  <dataValidations count="1">
    <dataValidation type="list" allowBlank="1" showInputMessage="1" showErrorMessage="1" sqref="J8">
      <formula1>$E$8:$E$9</formula1>
    </dataValidation>
  </dataValidations>
  <pageMargins left="0.75" right="0.75" top="1" bottom="1" header="0.509027777777778" footer="0.509027777777778"/>
  <headerFooter/>
  <drawing r:id="rId2"/>
  <legacyDrawing r:id="rId3"/>
  <mc:AlternateContent xmlns:mc="http://schemas.openxmlformats.org/markup-compatibility/2006">
    <mc:Choice Requires="x14">
      <controls>
        <mc:AlternateContent xmlns:mc="http://schemas.openxmlformats.org/markup-compatibility/2006">
          <mc:Choice Requires="x14">
            <control shapeId="222209" name="滚动条 75" r:id="rId4">
              <controlPr defaultSize="0">
                <anchor moveWithCells="1">
                  <from>
                    <xdr:col>9</xdr:col>
                    <xdr:colOff>6985</xdr:colOff>
                    <xdr:row>6</xdr:row>
                    <xdr:rowOff>22225</xdr:rowOff>
                  </from>
                  <to>
                    <xdr:col>9</xdr:col>
                    <xdr:colOff>921385</xdr:colOff>
                    <xdr:row>7</xdr:row>
                    <xdr:rowOff>6985</xdr:rowOff>
                  </to>
                </anchor>
              </controlPr>
            </control>
          </mc:Choice>
        </mc:AlternateContent>
        <mc:AlternateContent xmlns:mc="http://schemas.openxmlformats.org/markup-compatibility/2006">
          <mc:Choice Requires="x14">
            <control shapeId="222210" name="Scroll Bar 2" r:id="rId5">
              <controlPr defaultSize="0">
                <anchor moveWithCells="1">
                  <from>
                    <xdr:col>9</xdr:col>
                    <xdr:colOff>6985</xdr:colOff>
                    <xdr:row>6</xdr:row>
                    <xdr:rowOff>22225</xdr:rowOff>
                  </from>
                  <to>
                    <xdr:col>9</xdr:col>
                    <xdr:colOff>921385</xdr:colOff>
                    <xdr:row>7</xdr:row>
                    <xdr:rowOff>6985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IV15"/>
  <sheetViews>
    <sheetView zoomScale="90" zoomScaleNormal="90" workbookViewId="0">
      <selection activeCell="D5" sqref="D5"/>
    </sheetView>
  </sheetViews>
  <sheetFormatPr defaultColWidth="9" defaultRowHeight="17.25"/>
  <cols>
    <col min="1" max="5" width="27.625" style="370" customWidth="1"/>
    <col min="6" max="251" width="9" style="370" customWidth="1"/>
    <col min="252" max="256" width="9" style="328"/>
  </cols>
  <sheetData>
    <row r="1" s="366" customFormat="1" ht="29.25" spans="1:256">
      <c r="A1" s="371" t="s">
        <v>1109</v>
      </c>
      <c r="B1" s="371"/>
      <c r="C1" s="371"/>
      <c r="D1" s="371"/>
      <c r="E1" s="371"/>
      <c r="F1" s="370"/>
      <c r="G1" s="370"/>
      <c r="H1" s="370"/>
      <c r="I1" s="370"/>
      <c r="J1" s="370"/>
      <c r="K1" s="370"/>
      <c r="L1" s="370"/>
      <c r="M1" s="370"/>
      <c r="N1" s="370"/>
      <c r="O1" s="370"/>
      <c r="P1" s="370"/>
      <c r="Q1" s="370"/>
      <c r="R1" s="370"/>
      <c r="S1" s="370"/>
      <c r="T1" s="370"/>
      <c r="U1" s="370"/>
      <c r="V1" s="370"/>
      <c r="W1" s="370"/>
      <c r="X1" s="370"/>
      <c r="Y1" s="370"/>
      <c r="Z1" s="370"/>
      <c r="AA1" s="370"/>
      <c r="AB1" s="370"/>
      <c r="AC1" s="370"/>
      <c r="AD1" s="370"/>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370"/>
      <c r="CU1" s="370"/>
      <c r="CV1" s="370"/>
      <c r="CW1" s="370"/>
      <c r="CX1" s="370"/>
      <c r="CY1" s="370"/>
      <c r="CZ1" s="370"/>
      <c r="DA1" s="370"/>
      <c r="DB1" s="370"/>
      <c r="DC1" s="370"/>
      <c r="DD1" s="370"/>
      <c r="DE1" s="370"/>
      <c r="DF1" s="370"/>
      <c r="DG1" s="370"/>
      <c r="DH1" s="370"/>
      <c r="DI1" s="370"/>
      <c r="DJ1" s="370"/>
      <c r="DK1" s="370"/>
      <c r="DL1" s="370"/>
      <c r="DM1" s="370"/>
      <c r="DN1" s="370"/>
      <c r="DO1" s="370"/>
      <c r="DP1" s="370"/>
      <c r="DQ1" s="370"/>
      <c r="DR1" s="370"/>
      <c r="DS1" s="370"/>
      <c r="DT1" s="370"/>
      <c r="DU1" s="370"/>
      <c r="DV1" s="370"/>
      <c r="DW1" s="370"/>
      <c r="DX1" s="370"/>
      <c r="DY1" s="370"/>
      <c r="DZ1" s="370"/>
      <c r="EA1" s="370"/>
      <c r="EB1" s="370"/>
      <c r="EC1" s="370"/>
      <c r="ED1" s="370"/>
      <c r="EE1" s="370"/>
      <c r="EF1" s="370"/>
      <c r="EG1" s="370"/>
      <c r="EH1" s="370"/>
      <c r="EI1" s="370"/>
      <c r="EJ1" s="370"/>
      <c r="EK1" s="370"/>
      <c r="EL1" s="370"/>
      <c r="EM1" s="370"/>
      <c r="EN1" s="370"/>
      <c r="EO1" s="370"/>
      <c r="EP1" s="370"/>
      <c r="EQ1" s="370"/>
      <c r="ER1" s="370"/>
      <c r="ES1" s="370"/>
      <c r="ET1" s="370"/>
      <c r="EU1" s="370"/>
      <c r="EV1" s="370"/>
      <c r="EW1" s="370"/>
      <c r="EX1" s="370"/>
      <c r="EY1" s="370"/>
      <c r="EZ1" s="370"/>
      <c r="FA1" s="370"/>
      <c r="FB1" s="370"/>
      <c r="FC1" s="370"/>
      <c r="FD1" s="370"/>
      <c r="FE1" s="370"/>
      <c r="FF1" s="370"/>
      <c r="FG1" s="370"/>
      <c r="FH1" s="370"/>
      <c r="FI1" s="370"/>
      <c r="FJ1" s="370"/>
      <c r="FK1" s="370"/>
      <c r="FL1" s="370"/>
      <c r="FM1" s="370"/>
      <c r="FN1" s="370"/>
      <c r="FO1" s="370"/>
      <c r="FP1" s="370"/>
      <c r="FQ1" s="370"/>
      <c r="FR1" s="370"/>
      <c r="FS1" s="370"/>
      <c r="FT1" s="370"/>
      <c r="FU1" s="370"/>
      <c r="FV1" s="370"/>
      <c r="FW1" s="370"/>
      <c r="FX1" s="370"/>
      <c r="FY1" s="370"/>
      <c r="FZ1" s="370"/>
      <c r="GA1" s="370"/>
      <c r="GB1" s="370"/>
      <c r="GC1" s="370"/>
      <c r="GD1" s="370"/>
      <c r="GE1" s="370"/>
      <c r="GF1" s="370"/>
      <c r="GG1" s="370"/>
      <c r="GH1" s="370"/>
      <c r="GI1" s="370"/>
      <c r="GJ1" s="370"/>
      <c r="GK1" s="370"/>
      <c r="GL1" s="370"/>
      <c r="GM1" s="370"/>
      <c r="GN1" s="370"/>
      <c r="GO1" s="370"/>
      <c r="GP1" s="370"/>
      <c r="GQ1" s="370"/>
      <c r="GR1" s="370"/>
      <c r="GS1" s="370"/>
      <c r="GT1" s="370"/>
      <c r="GU1" s="370"/>
      <c r="GV1" s="370"/>
      <c r="GW1" s="370"/>
      <c r="GX1" s="370"/>
      <c r="GY1" s="370"/>
      <c r="GZ1" s="370"/>
      <c r="HA1" s="370"/>
      <c r="HB1" s="370"/>
      <c r="HC1" s="370"/>
      <c r="HD1" s="370"/>
      <c r="HE1" s="370"/>
      <c r="HF1" s="370"/>
      <c r="HG1" s="370"/>
      <c r="HH1" s="370"/>
      <c r="HI1" s="370"/>
      <c r="HJ1" s="370"/>
      <c r="HK1" s="370"/>
      <c r="HL1" s="370"/>
      <c r="HM1" s="370"/>
      <c r="HN1" s="370"/>
      <c r="HO1" s="370"/>
      <c r="HP1" s="370"/>
      <c r="HQ1" s="370"/>
      <c r="HR1" s="370"/>
      <c r="HS1" s="370"/>
      <c r="HT1" s="370"/>
      <c r="HU1" s="370"/>
      <c r="HV1" s="370"/>
      <c r="HW1" s="370"/>
      <c r="HX1" s="370"/>
      <c r="HY1" s="370"/>
      <c r="HZ1" s="370"/>
      <c r="IA1" s="370"/>
      <c r="IB1" s="370"/>
      <c r="IC1" s="370"/>
      <c r="ID1" s="370"/>
      <c r="IE1" s="370"/>
      <c r="IF1" s="370"/>
      <c r="IG1" s="370"/>
      <c r="IH1" s="370"/>
      <c r="II1" s="370"/>
      <c r="IJ1" s="370"/>
      <c r="IK1" s="370"/>
      <c r="IL1" s="370"/>
      <c r="IM1" s="370"/>
      <c r="IN1" s="370"/>
      <c r="IO1" s="370"/>
      <c r="IP1" s="370"/>
      <c r="IQ1" s="370"/>
      <c r="IR1" s="328"/>
      <c r="IS1" s="328"/>
      <c r="IT1" s="328"/>
      <c r="IU1" s="328"/>
      <c r="IV1" s="328"/>
    </row>
    <row r="2" s="367" customFormat="1" ht="24.95" customHeight="1" spans="1:256">
      <c r="A2" s="372"/>
      <c r="B2" s="372"/>
      <c r="C2" s="373"/>
      <c r="D2" s="373"/>
      <c r="E2" s="374" t="str">
        <f>资产负债表!F3</f>
        <v>单位：元 </v>
      </c>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5"/>
      <c r="BR2" s="375"/>
      <c r="BS2" s="375"/>
      <c r="BT2" s="375"/>
      <c r="BU2" s="375"/>
      <c r="BV2" s="375"/>
      <c r="BW2" s="375"/>
      <c r="BX2" s="375"/>
      <c r="BY2" s="375"/>
      <c r="BZ2" s="375"/>
      <c r="CA2" s="375"/>
      <c r="CB2" s="375"/>
      <c r="CC2" s="375"/>
      <c r="CD2" s="375"/>
      <c r="CE2" s="375"/>
      <c r="CF2" s="375"/>
      <c r="CG2" s="375"/>
      <c r="CH2" s="375"/>
      <c r="CI2" s="375"/>
      <c r="CJ2" s="375"/>
      <c r="CK2" s="375"/>
      <c r="CL2" s="375"/>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5"/>
      <c r="DZ2" s="375"/>
      <c r="EA2" s="375"/>
      <c r="EB2" s="375"/>
      <c r="EC2" s="375"/>
      <c r="ED2" s="375"/>
      <c r="EE2" s="375"/>
      <c r="EF2" s="375"/>
      <c r="EG2" s="375"/>
      <c r="EH2" s="375"/>
      <c r="EI2" s="375"/>
      <c r="EJ2" s="375"/>
      <c r="EK2" s="375"/>
      <c r="EL2" s="375"/>
      <c r="EM2" s="375"/>
      <c r="EN2" s="375"/>
      <c r="EO2" s="375"/>
      <c r="EP2" s="375"/>
      <c r="EQ2" s="375"/>
      <c r="ER2" s="375"/>
      <c r="ES2" s="375"/>
      <c r="ET2" s="375"/>
      <c r="EU2" s="375"/>
      <c r="EV2" s="375"/>
      <c r="EW2" s="375"/>
      <c r="EX2" s="375"/>
      <c r="EY2" s="375"/>
      <c r="EZ2" s="375"/>
      <c r="FA2" s="375"/>
      <c r="FB2" s="375"/>
      <c r="FC2" s="375"/>
      <c r="FD2" s="375"/>
      <c r="FE2" s="375"/>
      <c r="FF2" s="375"/>
      <c r="FG2" s="375"/>
      <c r="FH2" s="375"/>
      <c r="FI2" s="375"/>
      <c r="FJ2" s="375"/>
      <c r="FK2" s="375"/>
      <c r="FL2" s="375"/>
      <c r="FM2" s="375"/>
      <c r="FN2" s="375"/>
      <c r="FO2" s="375"/>
      <c r="FP2" s="375"/>
      <c r="FQ2" s="375"/>
      <c r="FR2" s="375"/>
      <c r="FS2" s="375"/>
      <c r="FT2" s="375"/>
      <c r="FU2" s="375"/>
      <c r="FV2" s="375"/>
      <c r="FW2" s="375"/>
      <c r="FX2" s="375"/>
      <c r="FY2" s="375"/>
      <c r="FZ2" s="375"/>
      <c r="GA2" s="375"/>
      <c r="GB2" s="375"/>
      <c r="GC2" s="375"/>
      <c r="GD2" s="375"/>
      <c r="GE2" s="375"/>
      <c r="GF2" s="375"/>
      <c r="GG2" s="375"/>
      <c r="GH2" s="375"/>
      <c r="GI2" s="375"/>
      <c r="GJ2" s="375"/>
      <c r="GK2" s="375"/>
      <c r="GL2" s="375"/>
      <c r="GM2" s="375"/>
      <c r="GN2" s="375"/>
      <c r="GO2" s="375"/>
      <c r="GP2" s="375"/>
      <c r="GQ2" s="375"/>
      <c r="GR2" s="375"/>
      <c r="GS2" s="375"/>
      <c r="GT2" s="375"/>
      <c r="GU2" s="375"/>
      <c r="GV2" s="375"/>
      <c r="GW2" s="375"/>
      <c r="GX2" s="375"/>
      <c r="GY2" s="375"/>
      <c r="GZ2" s="375"/>
      <c r="HA2" s="375"/>
      <c r="HB2" s="375"/>
      <c r="HC2" s="375"/>
      <c r="HD2" s="375"/>
      <c r="HE2" s="375"/>
      <c r="HF2" s="375"/>
      <c r="HG2" s="375"/>
      <c r="HH2" s="375"/>
      <c r="HI2" s="375"/>
      <c r="HJ2" s="375"/>
      <c r="HK2" s="375"/>
      <c r="HL2" s="375"/>
      <c r="HM2" s="375"/>
      <c r="HN2" s="375"/>
      <c r="HO2" s="375"/>
      <c r="HP2" s="375"/>
      <c r="HQ2" s="375"/>
      <c r="HR2" s="375"/>
      <c r="HS2" s="375"/>
      <c r="HT2" s="375"/>
      <c r="HU2" s="375"/>
      <c r="HV2" s="375"/>
      <c r="HW2" s="375"/>
      <c r="HX2" s="375"/>
      <c r="HY2" s="375"/>
      <c r="HZ2" s="375"/>
      <c r="IA2" s="375"/>
      <c r="IB2" s="375"/>
      <c r="IC2" s="375"/>
      <c r="ID2" s="375"/>
      <c r="IE2" s="375"/>
      <c r="IF2" s="375"/>
      <c r="IG2" s="375"/>
      <c r="IH2" s="375"/>
      <c r="II2" s="375"/>
      <c r="IJ2" s="375"/>
      <c r="IK2" s="375"/>
      <c r="IL2" s="375"/>
      <c r="IM2" s="375"/>
      <c r="IN2" s="375"/>
      <c r="IO2" s="375"/>
      <c r="IP2" s="375"/>
      <c r="IQ2" s="375"/>
      <c r="IR2" s="375"/>
      <c r="IS2" s="375"/>
      <c r="IT2" s="375"/>
      <c r="IU2" s="375"/>
      <c r="IV2" s="375"/>
    </row>
    <row r="3" s="368" customFormat="1" ht="24.95" customHeight="1" spans="1:256">
      <c r="A3" s="376" t="s">
        <v>996</v>
      </c>
      <c r="B3" s="376" t="s">
        <v>1110</v>
      </c>
      <c r="C3" s="376" t="s">
        <v>1111</v>
      </c>
      <c r="D3" s="376" t="s">
        <v>1112</v>
      </c>
      <c r="E3" s="376" t="s">
        <v>1121</v>
      </c>
      <c r="F3" s="377"/>
      <c r="G3" s="377"/>
      <c r="H3" s="377"/>
      <c r="I3" s="377"/>
      <c r="J3" s="377"/>
      <c r="K3" s="377"/>
      <c r="L3" s="377"/>
      <c r="M3" s="377"/>
      <c r="N3" s="377"/>
      <c r="O3" s="377"/>
      <c r="P3" s="377"/>
      <c r="Q3" s="377"/>
      <c r="R3" s="377"/>
      <c r="S3" s="377"/>
      <c r="T3" s="377"/>
      <c r="U3" s="377"/>
      <c r="V3" s="377"/>
      <c r="W3" s="377"/>
      <c r="X3" s="377"/>
      <c r="Y3" s="377"/>
      <c r="Z3" s="377"/>
      <c r="AA3" s="377"/>
      <c r="AB3" s="377"/>
      <c r="AC3" s="377"/>
      <c r="AD3" s="377"/>
      <c r="AE3" s="377"/>
      <c r="AF3" s="377"/>
      <c r="AG3" s="377"/>
      <c r="AH3" s="377"/>
      <c r="AI3" s="377"/>
      <c r="AJ3" s="377"/>
      <c r="AK3" s="377"/>
      <c r="AL3" s="377"/>
      <c r="AM3" s="377"/>
      <c r="AN3" s="377"/>
      <c r="AO3" s="377"/>
      <c r="AP3" s="377"/>
      <c r="AQ3" s="377"/>
      <c r="AR3" s="377"/>
      <c r="AS3" s="377"/>
      <c r="AT3" s="377"/>
      <c r="AU3" s="377"/>
      <c r="AV3" s="377"/>
      <c r="AW3" s="377"/>
      <c r="AX3" s="377"/>
      <c r="AY3" s="377"/>
      <c r="AZ3" s="377"/>
      <c r="BA3" s="377"/>
      <c r="BB3" s="377"/>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77"/>
      <c r="DR3" s="377"/>
      <c r="DS3" s="377"/>
      <c r="DT3" s="377"/>
      <c r="DU3" s="377"/>
      <c r="DV3" s="377"/>
      <c r="DW3" s="377"/>
      <c r="DX3" s="377"/>
      <c r="DY3" s="377"/>
      <c r="DZ3" s="377"/>
      <c r="EA3" s="377"/>
      <c r="EB3" s="377"/>
      <c r="EC3" s="377"/>
      <c r="ED3" s="377"/>
      <c r="EE3" s="377"/>
      <c r="EF3" s="377"/>
      <c r="EG3" s="377"/>
      <c r="EH3" s="377"/>
      <c r="EI3" s="377"/>
      <c r="EJ3" s="377"/>
      <c r="EK3" s="377"/>
      <c r="EL3" s="377"/>
      <c r="EM3" s="377"/>
      <c r="EN3" s="377"/>
      <c r="EO3" s="377"/>
      <c r="EP3" s="377"/>
      <c r="EQ3" s="377"/>
      <c r="ER3" s="377"/>
      <c r="ES3" s="377"/>
      <c r="ET3" s="377"/>
      <c r="EU3" s="377"/>
      <c r="EV3" s="377"/>
      <c r="EW3" s="377"/>
      <c r="EX3" s="377"/>
      <c r="EY3" s="377"/>
      <c r="EZ3" s="377"/>
      <c r="FA3" s="377"/>
      <c r="FB3" s="377"/>
      <c r="FC3" s="377"/>
      <c r="FD3" s="377"/>
      <c r="FE3" s="377"/>
      <c r="FF3" s="377"/>
      <c r="FG3" s="377"/>
      <c r="FH3" s="377"/>
      <c r="FI3" s="377"/>
      <c r="FJ3" s="377"/>
      <c r="FK3" s="377"/>
      <c r="FL3" s="377"/>
      <c r="FM3" s="377"/>
      <c r="FN3" s="377"/>
      <c r="FO3" s="377"/>
      <c r="FP3" s="377"/>
      <c r="FQ3" s="377"/>
      <c r="FR3" s="377"/>
      <c r="FS3" s="377"/>
      <c r="FT3" s="377"/>
      <c r="FU3" s="377"/>
      <c r="FV3" s="377"/>
      <c r="FW3" s="377"/>
      <c r="FX3" s="377"/>
      <c r="FY3" s="377"/>
      <c r="FZ3" s="377"/>
      <c r="GA3" s="377"/>
      <c r="GB3" s="377"/>
      <c r="GC3" s="377"/>
      <c r="GD3" s="377"/>
      <c r="GE3" s="377"/>
      <c r="GF3" s="377"/>
      <c r="GG3" s="377"/>
      <c r="GH3" s="377"/>
      <c r="GI3" s="377"/>
      <c r="GJ3" s="377"/>
      <c r="GK3" s="377"/>
      <c r="GL3" s="377"/>
      <c r="GM3" s="377"/>
      <c r="GN3" s="377"/>
      <c r="GO3" s="377"/>
      <c r="GP3" s="377"/>
      <c r="GQ3" s="377"/>
      <c r="GR3" s="377"/>
      <c r="GS3" s="377"/>
      <c r="GT3" s="377"/>
      <c r="GU3" s="377"/>
      <c r="GV3" s="377"/>
      <c r="GW3" s="377"/>
      <c r="GX3" s="377"/>
      <c r="GY3" s="377"/>
      <c r="GZ3" s="377"/>
      <c r="HA3" s="377"/>
      <c r="HB3" s="377"/>
      <c r="HC3" s="377"/>
      <c r="HD3" s="377"/>
      <c r="HE3" s="377"/>
      <c r="HF3" s="377"/>
      <c r="HG3" s="377"/>
      <c r="HH3" s="377"/>
      <c r="HI3" s="377"/>
      <c r="HJ3" s="377"/>
      <c r="HK3" s="377"/>
      <c r="HL3" s="377"/>
      <c r="HM3" s="377"/>
      <c r="HN3" s="377"/>
      <c r="HO3" s="377"/>
      <c r="HP3" s="377"/>
      <c r="HQ3" s="377"/>
      <c r="HR3" s="377"/>
      <c r="HS3" s="377"/>
      <c r="HT3" s="377"/>
      <c r="HU3" s="377"/>
      <c r="HV3" s="377"/>
      <c r="HW3" s="377"/>
      <c r="HX3" s="377"/>
      <c r="HY3" s="377"/>
      <c r="HZ3" s="377"/>
      <c r="IA3" s="377"/>
      <c r="IB3" s="377"/>
      <c r="IC3" s="377"/>
      <c r="ID3" s="377"/>
      <c r="IE3" s="377"/>
      <c r="IF3" s="377"/>
      <c r="IG3" s="377"/>
      <c r="IH3" s="377"/>
      <c r="II3" s="377"/>
      <c r="IJ3" s="377"/>
      <c r="IK3" s="377"/>
      <c r="IL3" s="377"/>
      <c r="IM3" s="377"/>
      <c r="IN3" s="377"/>
      <c r="IO3" s="377"/>
      <c r="IP3" s="377"/>
      <c r="IQ3" s="377"/>
      <c r="IR3" s="386"/>
      <c r="IS3" s="386"/>
      <c r="IT3" s="386"/>
      <c r="IU3" s="386"/>
      <c r="IV3" s="386"/>
    </row>
    <row r="4" s="369" customFormat="1" ht="24.95" customHeight="1" spans="1:256">
      <c r="A4" s="378" t="s">
        <v>1122</v>
      </c>
      <c r="B4" s="379"/>
      <c r="C4" s="380">
        <f>B4*D4/100+B4</f>
        <v>0</v>
      </c>
      <c r="D4" s="380">
        <v>1</v>
      </c>
      <c r="E4" s="381"/>
      <c r="F4" s="375"/>
      <c r="G4" s="375"/>
      <c r="H4" s="375"/>
      <c r="I4" s="375"/>
      <c r="J4" s="375"/>
      <c r="K4" s="375"/>
      <c r="L4" s="375"/>
      <c r="M4" s="375"/>
      <c r="N4" s="375"/>
      <c r="O4" s="375"/>
      <c r="P4" s="375"/>
      <c r="Q4" s="375"/>
      <c r="R4" s="375"/>
      <c r="S4" s="375"/>
      <c r="T4" s="375"/>
      <c r="U4" s="375"/>
      <c r="V4" s="375"/>
      <c r="W4" s="375"/>
      <c r="X4" s="375"/>
      <c r="Y4" s="375"/>
      <c r="Z4" s="375"/>
      <c r="AA4" s="375"/>
      <c r="AB4" s="375"/>
      <c r="AC4" s="375"/>
      <c r="AD4" s="375"/>
      <c r="AE4" s="375"/>
      <c r="AF4" s="375"/>
      <c r="AG4" s="375"/>
      <c r="AH4" s="375"/>
      <c r="AI4" s="375"/>
      <c r="AJ4" s="375"/>
      <c r="AK4" s="375"/>
      <c r="AL4" s="375"/>
      <c r="AM4" s="375"/>
      <c r="AN4" s="375"/>
      <c r="AO4" s="375"/>
      <c r="AP4" s="375"/>
      <c r="AQ4" s="375"/>
      <c r="AR4" s="375"/>
      <c r="AS4" s="375"/>
      <c r="AT4" s="375"/>
      <c r="AU4" s="375"/>
      <c r="AV4" s="375"/>
      <c r="AW4" s="375"/>
      <c r="AX4" s="375"/>
      <c r="AY4" s="375"/>
      <c r="AZ4" s="375"/>
      <c r="BA4" s="375"/>
      <c r="BB4" s="375"/>
      <c r="BC4" s="375"/>
      <c r="BD4" s="375"/>
      <c r="BE4" s="375"/>
      <c r="BF4" s="375"/>
      <c r="BG4" s="375"/>
      <c r="BH4" s="375"/>
      <c r="BI4" s="375"/>
      <c r="BJ4" s="375"/>
      <c r="BK4" s="375"/>
      <c r="BL4" s="375"/>
      <c r="BM4" s="375"/>
      <c r="BN4" s="375"/>
      <c r="BO4" s="375"/>
      <c r="BP4" s="375"/>
      <c r="BQ4" s="375"/>
      <c r="BR4" s="375"/>
      <c r="BS4" s="375"/>
      <c r="BT4" s="375"/>
      <c r="BU4" s="375"/>
      <c r="BV4" s="375"/>
      <c r="BW4" s="375"/>
      <c r="BX4" s="375"/>
      <c r="BY4" s="375"/>
      <c r="BZ4" s="375"/>
      <c r="CA4" s="375"/>
      <c r="CB4" s="375"/>
      <c r="CC4" s="375"/>
      <c r="CD4" s="375"/>
      <c r="CE4" s="375"/>
      <c r="CF4" s="375"/>
      <c r="CG4" s="375"/>
      <c r="CH4" s="375"/>
      <c r="CI4" s="375"/>
      <c r="CJ4" s="375"/>
      <c r="CK4" s="375"/>
      <c r="CL4" s="375"/>
      <c r="CM4" s="375"/>
      <c r="CN4" s="375"/>
      <c r="CO4" s="375"/>
      <c r="CP4" s="375"/>
      <c r="CQ4" s="375"/>
      <c r="CR4" s="375"/>
      <c r="CS4" s="375"/>
      <c r="CT4" s="375"/>
      <c r="CU4" s="375"/>
      <c r="CV4" s="375"/>
      <c r="CW4" s="375"/>
      <c r="CX4" s="375"/>
      <c r="CY4" s="375"/>
      <c r="CZ4" s="375"/>
      <c r="DA4" s="375"/>
      <c r="DB4" s="375"/>
      <c r="DC4" s="375"/>
      <c r="DD4" s="375"/>
      <c r="DE4" s="375"/>
      <c r="DF4" s="375"/>
      <c r="DG4" s="375"/>
      <c r="DH4" s="375"/>
      <c r="DI4" s="375"/>
      <c r="DJ4" s="375"/>
      <c r="DK4" s="375"/>
      <c r="DL4" s="375"/>
      <c r="DM4" s="375"/>
      <c r="DN4" s="375"/>
      <c r="DO4" s="375"/>
      <c r="DP4" s="375"/>
      <c r="DQ4" s="375"/>
      <c r="DR4" s="375"/>
      <c r="DS4" s="375"/>
      <c r="DT4" s="375"/>
      <c r="DU4" s="375"/>
      <c r="DV4" s="375"/>
      <c r="DW4" s="375"/>
      <c r="DX4" s="375"/>
      <c r="DY4" s="375"/>
      <c r="DZ4" s="375"/>
      <c r="EA4" s="375"/>
      <c r="EB4" s="375"/>
      <c r="EC4" s="375"/>
      <c r="ED4" s="375"/>
      <c r="EE4" s="375"/>
      <c r="EF4" s="375"/>
      <c r="EG4" s="375"/>
      <c r="EH4" s="375"/>
      <c r="EI4" s="375"/>
      <c r="EJ4" s="375"/>
      <c r="EK4" s="375"/>
      <c r="EL4" s="375"/>
      <c r="EM4" s="375"/>
      <c r="EN4" s="375"/>
      <c r="EO4" s="375"/>
      <c r="EP4" s="375"/>
      <c r="EQ4" s="375"/>
      <c r="ER4" s="375"/>
      <c r="ES4" s="375"/>
      <c r="ET4" s="375"/>
      <c r="EU4" s="375"/>
      <c r="EV4" s="375"/>
      <c r="EW4" s="375"/>
      <c r="EX4" s="375"/>
      <c r="EY4" s="375"/>
      <c r="EZ4" s="375"/>
      <c r="FA4" s="375"/>
      <c r="FB4" s="375"/>
      <c r="FC4" s="375"/>
      <c r="FD4" s="375"/>
      <c r="FE4" s="375"/>
      <c r="FF4" s="375"/>
      <c r="FG4" s="375"/>
      <c r="FH4" s="375"/>
      <c r="FI4" s="375"/>
      <c r="FJ4" s="375"/>
      <c r="FK4" s="375"/>
      <c r="FL4" s="375"/>
      <c r="FM4" s="375"/>
      <c r="FN4" s="375"/>
      <c r="FO4" s="375"/>
      <c r="FP4" s="375"/>
      <c r="FQ4" s="375"/>
      <c r="FR4" s="375"/>
      <c r="FS4" s="375"/>
      <c r="FT4" s="375"/>
      <c r="FU4" s="375"/>
      <c r="FV4" s="375"/>
      <c r="FW4" s="375"/>
      <c r="FX4" s="375"/>
      <c r="FY4" s="375"/>
      <c r="FZ4" s="375"/>
      <c r="GA4" s="375"/>
      <c r="GB4" s="375"/>
      <c r="GC4" s="375"/>
      <c r="GD4" s="375"/>
      <c r="GE4" s="375"/>
      <c r="GF4" s="375"/>
      <c r="GG4" s="375"/>
      <c r="GH4" s="375"/>
      <c r="GI4" s="375"/>
      <c r="GJ4" s="375"/>
      <c r="GK4" s="375"/>
      <c r="GL4" s="375"/>
      <c r="GM4" s="375"/>
      <c r="GN4" s="375"/>
      <c r="GO4" s="375"/>
      <c r="GP4" s="375"/>
      <c r="GQ4" s="375"/>
      <c r="GR4" s="375"/>
      <c r="GS4" s="375"/>
      <c r="GT4" s="375"/>
      <c r="GU4" s="375"/>
      <c r="GV4" s="375"/>
      <c r="GW4" s="375"/>
      <c r="GX4" s="375"/>
      <c r="GY4" s="375"/>
      <c r="GZ4" s="375"/>
      <c r="HA4" s="375"/>
      <c r="HB4" s="375"/>
      <c r="HC4" s="375"/>
      <c r="HD4" s="375"/>
      <c r="HE4" s="375"/>
      <c r="HF4" s="375"/>
      <c r="HG4" s="375"/>
      <c r="HH4" s="375"/>
      <c r="HI4" s="375"/>
      <c r="HJ4" s="375"/>
      <c r="HK4" s="375"/>
      <c r="HL4" s="375"/>
      <c r="HM4" s="375"/>
      <c r="HN4" s="375"/>
      <c r="HO4" s="375"/>
      <c r="HP4" s="375"/>
      <c r="HQ4" s="375"/>
      <c r="HR4" s="375"/>
      <c r="HS4" s="375"/>
      <c r="HT4" s="375"/>
      <c r="HU4" s="375"/>
      <c r="HV4" s="375"/>
      <c r="HW4" s="375"/>
      <c r="HX4" s="375"/>
      <c r="HY4" s="375"/>
      <c r="HZ4" s="375"/>
      <c r="IA4" s="375"/>
      <c r="IB4" s="375"/>
      <c r="IC4" s="375"/>
      <c r="ID4" s="375"/>
      <c r="IE4" s="375"/>
      <c r="IF4" s="375"/>
      <c r="IG4" s="375"/>
      <c r="IH4" s="375"/>
      <c r="II4" s="375"/>
      <c r="IJ4" s="375"/>
      <c r="IK4" s="375"/>
      <c r="IL4" s="375"/>
      <c r="IM4" s="375"/>
      <c r="IN4" s="375"/>
      <c r="IO4" s="375"/>
      <c r="IP4" s="375"/>
      <c r="IQ4" s="375"/>
      <c r="IR4" s="387"/>
      <c r="IS4" s="387"/>
      <c r="IT4" s="387"/>
      <c r="IU4" s="387"/>
      <c r="IV4" s="387"/>
    </row>
    <row r="5" s="369" customFormat="1" ht="24.95" customHeight="1" spans="1:256">
      <c r="A5" s="378" t="s">
        <v>1123</v>
      </c>
      <c r="B5" s="382"/>
      <c r="C5" s="383">
        <f t="shared" ref="C5:C7" si="0">B5*D5/100+B5</f>
        <v>0</v>
      </c>
      <c r="D5" s="380">
        <v>0</v>
      </c>
      <c r="E5" s="381"/>
      <c r="F5" s="375"/>
      <c r="G5" s="375"/>
      <c r="H5" s="375"/>
      <c r="I5" s="375"/>
      <c r="J5" s="375"/>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5"/>
      <c r="AO5" s="375"/>
      <c r="AP5" s="375"/>
      <c r="AQ5" s="375"/>
      <c r="AR5" s="375"/>
      <c r="AS5" s="375"/>
      <c r="AT5" s="375"/>
      <c r="AU5" s="375"/>
      <c r="AV5" s="375"/>
      <c r="AW5" s="375"/>
      <c r="AX5" s="375"/>
      <c r="AY5" s="375"/>
      <c r="AZ5" s="375"/>
      <c r="BA5" s="375"/>
      <c r="BB5" s="375"/>
      <c r="BC5" s="375"/>
      <c r="BD5" s="375"/>
      <c r="BE5" s="375"/>
      <c r="BF5" s="375"/>
      <c r="BG5" s="375"/>
      <c r="BH5" s="375"/>
      <c r="BI5" s="375"/>
      <c r="BJ5" s="375"/>
      <c r="BK5" s="375"/>
      <c r="BL5" s="375"/>
      <c r="BM5" s="375"/>
      <c r="BN5" s="375"/>
      <c r="BO5" s="375"/>
      <c r="BP5" s="375"/>
      <c r="BQ5" s="375"/>
      <c r="BR5" s="375"/>
      <c r="BS5" s="375"/>
      <c r="BT5" s="375"/>
      <c r="BU5" s="375"/>
      <c r="BV5" s="375"/>
      <c r="BW5" s="375"/>
      <c r="BX5" s="375"/>
      <c r="BY5" s="375"/>
      <c r="BZ5" s="375"/>
      <c r="CA5" s="375"/>
      <c r="CB5" s="375"/>
      <c r="CC5" s="375"/>
      <c r="CD5" s="375"/>
      <c r="CE5" s="375"/>
      <c r="CF5" s="375"/>
      <c r="CG5" s="375"/>
      <c r="CH5" s="375"/>
      <c r="CI5" s="375"/>
      <c r="CJ5" s="375"/>
      <c r="CK5" s="375"/>
      <c r="CL5" s="375"/>
      <c r="CM5" s="375"/>
      <c r="CN5" s="375"/>
      <c r="CO5" s="375"/>
      <c r="CP5" s="375"/>
      <c r="CQ5" s="375"/>
      <c r="CR5" s="375"/>
      <c r="CS5" s="375"/>
      <c r="CT5" s="375"/>
      <c r="CU5" s="375"/>
      <c r="CV5" s="375"/>
      <c r="CW5" s="375"/>
      <c r="CX5" s="375"/>
      <c r="CY5" s="375"/>
      <c r="CZ5" s="375"/>
      <c r="DA5" s="375"/>
      <c r="DB5" s="375"/>
      <c r="DC5" s="375"/>
      <c r="DD5" s="375"/>
      <c r="DE5" s="375"/>
      <c r="DF5" s="375"/>
      <c r="DG5" s="375"/>
      <c r="DH5" s="375"/>
      <c r="DI5" s="375"/>
      <c r="DJ5" s="375"/>
      <c r="DK5" s="375"/>
      <c r="DL5" s="375"/>
      <c r="DM5" s="375"/>
      <c r="DN5" s="375"/>
      <c r="DO5" s="375"/>
      <c r="DP5" s="375"/>
      <c r="DQ5" s="375"/>
      <c r="DR5" s="375"/>
      <c r="DS5" s="375"/>
      <c r="DT5" s="375"/>
      <c r="DU5" s="375"/>
      <c r="DV5" s="375"/>
      <c r="DW5" s="375"/>
      <c r="DX5" s="375"/>
      <c r="DY5" s="375"/>
      <c r="DZ5" s="375"/>
      <c r="EA5" s="375"/>
      <c r="EB5" s="375"/>
      <c r="EC5" s="375"/>
      <c r="ED5" s="375"/>
      <c r="EE5" s="375"/>
      <c r="EF5" s="375"/>
      <c r="EG5" s="375"/>
      <c r="EH5" s="375"/>
      <c r="EI5" s="375"/>
      <c r="EJ5" s="375"/>
      <c r="EK5" s="375"/>
      <c r="EL5" s="375"/>
      <c r="EM5" s="375"/>
      <c r="EN5" s="375"/>
      <c r="EO5" s="375"/>
      <c r="EP5" s="375"/>
      <c r="EQ5" s="375"/>
      <c r="ER5" s="375"/>
      <c r="ES5" s="375"/>
      <c r="ET5" s="375"/>
      <c r="EU5" s="375"/>
      <c r="EV5" s="375"/>
      <c r="EW5" s="375"/>
      <c r="EX5" s="375"/>
      <c r="EY5" s="375"/>
      <c r="EZ5" s="375"/>
      <c r="FA5" s="375"/>
      <c r="FB5" s="375"/>
      <c r="FC5" s="375"/>
      <c r="FD5" s="375"/>
      <c r="FE5" s="375"/>
      <c r="FF5" s="375"/>
      <c r="FG5" s="375"/>
      <c r="FH5" s="375"/>
      <c r="FI5" s="375"/>
      <c r="FJ5" s="375"/>
      <c r="FK5" s="375"/>
      <c r="FL5" s="375"/>
      <c r="FM5" s="375"/>
      <c r="FN5" s="375"/>
      <c r="FO5" s="375"/>
      <c r="FP5" s="375"/>
      <c r="FQ5" s="375"/>
      <c r="FR5" s="375"/>
      <c r="FS5" s="375"/>
      <c r="FT5" s="375"/>
      <c r="FU5" s="375"/>
      <c r="FV5" s="375"/>
      <c r="FW5" s="375"/>
      <c r="FX5" s="375"/>
      <c r="FY5" s="375"/>
      <c r="FZ5" s="375"/>
      <c r="GA5" s="375"/>
      <c r="GB5" s="375"/>
      <c r="GC5" s="375"/>
      <c r="GD5" s="375"/>
      <c r="GE5" s="375"/>
      <c r="GF5" s="375"/>
      <c r="GG5" s="375"/>
      <c r="GH5" s="375"/>
      <c r="GI5" s="375"/>
      <c r="GJ5" s="375"/>
      <c r="GK5" s="375"/>
      <c r="GL5" s="375"/>
      <c r="GM5" s="375"/>
      <c r="GN5" s="375"/>
      <c r="GO5" s="375"/>
      <c r="GP5" s="375"/>
      <c r="GQ5" s="375"/>
      <c r="GR5" s="375"/>
      <c r="GS5" s="375"/>
      <c r="GT5" s="375"/>
      <c r="GU5" s="375"/>
      <c r="GV5" s="375"/>
      <c r="GW5" s="375"/>
      <c r="GX5" s="375"/>
      <c r="GY5" s="375"/>
      <c r="GZ5" s="375"/>
      <c r="HA5" s="375"/>
      <c r="HB5" s="375"/>
      <c r="HC5" s="375"/>
      <c r="HD5" s="375"/>
      <c r="HE5" s="375"/>
      <c r="HF5" s="375"/>
      <c r="HG5" s="375"/>
      <c r="HH5" s="375"/>
      <c r="HI5" s="375"/>
      <c r="HJ5" s="375"/>
      <c r="HK5" s="375"/>
      <c r="HL5" s="375"/>
      <c r="HM5" s="375"/>
      <c r="HN5" s="375"/>
      <c r="HO5" s="375"/>
      <c r="HP5" s="375"/>
      <c r="HQ5" s="375"/>
      <c r="HR5" s="375"/>
      <c r="HS5" s="375"/>
      <c r="HT5" s="375"/>
      <c r="HU5" s="375"/>
      <c r="HV5" s="375"/>
      <c r="HW5" s="375"/>
      <c r="HX5" s="375"/>
      <c r="HY5" s="375"/>
      <c r="HZ5" s="375"/>
      <c r="IA5" s="375"/>
      <c r="IB5" s="375"/>
      <c r="IC5" s="375"/>
      <c r="ID5" s="375"/>
      <c r="IE5" s="375"/>
      <c r="IF5" s="375"/>
      <c r="IG5" s="375"/>
      <c r="IH5" s="375"/>
      <c r="II5" s="375"/>
      <c r="IJ5" s="375"/>
      <c r="IK5" s="375"/>
      <c r="IL5" s="375"/>
      <c r="IM5" s="375"/>
      <c r="IN5" s="375"/>
      <c r="IO5" s="375"/>
      <c r="IP5" s="375"/>
      <c r="IQ5" s="375"/>
      <c r="IR5" s="387"/>
      <c r="IS5" s="387"/>
      <c r="IT5" s="387"/>
      <c r="IU5" s="387"/>
      <c r="IV5" s="387"/>
    </row>
    <row r="6" s="369" customFormat="1" ht="24.95" customHeight="1" spans="1:256">
      <c r="A6" s="378" t="s">
        <v>1124</v>
      </c>
      <c r="B6" s="382"/>
      <c r="C6" s="383">
        <f t="shared" si="0"/>
        <v>0</v>
      </c>
      <c r="D6" s="380">
        <v>0</v>
      </c>
      <c r="E6" s="381"/>
      <c r="F6" s="375"/>
      <c r="G6" s="375"/>
      <c r="H6" s="375"/>
      <c r="I6" s="375"/>
      <c r="J6" s="375"/>
      <c r="K6" s="375"/>
      <c r="L6" s="375"/>
      <c r="M6" s="375"/>
      <c r="N6" s="375"/>
      <c r="O6" s="375"/>
      <c r="P6" s="375"/>
      <c r="Q6" s="375"/>
      <c r="R6" s="375"/>
      <c r="S6" s="375"/>
      <c r="T6" s="375"/>
      <c r="U6" s="375"/>
      <c r="V6" s="375"/>
      <c r="W6" s="375"/>
      <c r="X6" s="375"/>
      <c r="Y6" s="375"/>
      <c r="Z6" s="375"/>
      <c r="AA6" s="375"/>
      <c r="AB6" s="375"/>
      <c r="AC6" s="375"/>
      <c r="AD6" s="375"/>
      <c r="AE6" s="375"/>
      <c r="AF6" s="375"/>
      <c r="AG6" s="375"/>
      <c r="AH6" s="375"/>
      <c r="AI6" s="375"/>
      <c r="AJ6" s="375"/>
      <c r="AK6" s="375"/>
      <c r="AL6" s="375"/>
      <c r="AM6" s="375"/>
      <c r="AN6" s="375"/>
      <c r="AO6" s="375"/>
      <c r="AP6" s="375"/>
      <c r="AQ6" s="375"/>
      <c r="AR6" s="375"/>
      <c r="AS6" s="375"/>
      <c r="AT6" s="375"/>
      <c r="AU6" s="375"/>
      <c r="AV6" s="375"/>
      <c r="AW6" s="375"/>
      <c r="AX6" s="375"/>
      <c r="AY6" s="375"/>
      <c r="AZ6" s="375"/>
      <c r="BA6" s="375"/>
      <c r="BB6" s="375"/>
      <c r="BC6" s="375"/>
      <c r="BD6" s="375"/>
      <c r="BE6" s="375"/>
      <c r="BF6" s="375"/>
      <c r="BG6" s="375"/>
      <c r="BH6" s="375"/>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375"/>
      <c r="CH6" s="375"/>
      <c r="CI6" s="375"/>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375"/>
      <c r="DI6" s="375"/>
      <c r="DJ6" s="375"/>
      <c r="DK6" s="375"/>
      <c r="DL6" s="375"/>
      <c r="DM6" s="375"/>
      <c r="DN6" s="375"/>
      <c r="DO6" s="375"/>
      <c r="DP6" s="375"/>
      <c r="DQ6" s="375"/>
      <c r="DR6" s="375"/>
      <c r="DS6" s="375"/>
      <c r="DT6" s="375"/>
      <c r="DU6" s="375"/>
      <c r="DV6" s="375"/>
      <c r="DW6" s="375"/>
      <c r="DX6" s="375"/>
      <c r="DY6" s="375"/>
      <c r="DZ6" s="375"/>
      <c r="EA6" s="375"/>
      <c r="EB6" s="375"/>
      <c r="EC6" s="375"/>
      <c r="ED6" s="375"/>
      <c r="EE6" s="375"/>
      <c r="EF6" s="375"/>
      <c r="EG6" s="375"/>
      <c r="EH6" s="375"/>
      <c r="EI6" s="375"/>
      <c r="EJ6" s="375"/>
      <c r="EK6" s="375"/>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375"/>
      <c r="FK6" s="375"/>
      <c r="FL6" s="375"/>
      <c r="FM6" s="375"/>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375"/>
      <c r="GL6" s="375"/>
      <c r="GM6" s="375"/>
      <c r="GN6" s="375"/>
      <c r="GO6" s="375"/>
      <c r="GP6" s="375"/>
      <c r="GQ6" s="375"/>
      <c r="GR6" s="375"/>
      <c r="GS6" s="375"/>
      <c r="GT6" s="375"/>
      <c r="GU6" s="375"/>
      <c r="GV6" s="375"/>
      <c r="GW6" s="375"/>
      <c r="GX6" s="375"/>
      <c r="GY6" s="375"/>
      <c r="GZ6" s="375"/>
      <c r="HA6" s="375"/>
      <c r="HB6" s="375"/>
      <c r="HC6" s="375"/>
      <c r="HD6" s="375"/>
      <c r="HE6" s="375"/>
      <c r="HF6" s="375"/>
      <c r="HG6" s="375"/>
      <c r="HH6" s="375"/>
      <c r="HI6" s="375"/>
      <c r="HJ6" s="375"/>
      <c r="HK6" s="375"/>
      <c r="HL6" s="375"/>
      <c r="HM6" s="375"/>
      <c r="HN6" s="375"/>
      <c r="HO6" s="375"/>
      <c r="HP6" s="375"/>
      <c r="HQ6" s="375"/>
      <c r="HR6" s="375"/>
      <c r="HS6" s="375"/>
      <c r="HT6" s="375"/>
      <c r="HU6" s="375"/>
      <c r="HV6" s="375"/>
      <c r="HW6" s="375"/>
      <c r="HX6" s="375"/>
      <c r="HY6" s="375"/>
      <c r="HZ6" s="375"/>
      <c r="IA6" s="375"/>
      <c r="IB6" s="375"/>
      <c r="IC6" s="375"/>
      <c r="ID6" s="375"/>
      <c r="IE6" s="375"/>
      <c r="IF6" s="375"/>
      <c r="IG6" s="375"/>
      <c r="IH6" s="375"/>
      <c r="II6" s="375"/>
      <c r="IJ6" s="375"/>
      <c r="IK6" s="375"/>
      <c r="IL6" s="375"/>
      <c r="IM6" s="375"/>
      <c r="IN6" s="375"/>
      <c r="IO6" s="375"/>
      <c r="IP6" s="375"/>
      <c r="IQ6" s="375"/>
      <c r="IR6" s="387"/>
      <c r="IS6" s="387"/>
      <c r="IT6" s="387"/>
      <c r="IU6" s="387"/>
      <c r="IV6" s="387"/>
    </row>
    <row r="7" s="369" customFormat="1" ht="24.95" customHeight="1" spans="1:256">
      <c r="A7" s="378" t="s">
        <v>1125</v>
      </c>
      <c r="B7" s="382"/>
      <c r="C7" s="383">
        <f t="shared" si="0"/>
        <v>0</v>
      </c>
      <c r="D7" s="380">
        <v>0</v>
      </c>
      <c r="E7" s="381"/>
      <c r="F7" s="375"/>
      <c r="G7" s="375"/>
      <c r="H7" s="375"/>
      <c r="I7" s="375"/>
      <c r="J7" s="375"/>
      <c r="K7" s="375"/>
      <c r="L7" s="375"/>
      <c r="M7" s="375"/>
      <c r="N7" s="375"/>
      <c r="O7" s="375"/>
      <c r="P7" s="375"/>
      <c r="Q7" s="375"/>
      <c r="R7" s="375"/>
      <c r="S7" s="375"/>
      <c r="T7" s="375"/>
      <c r="U7" s="375"/>
      <c r="V7" s="375"/>
      <c r="W7" s="375"/>
      <c r="X7" s="375"/>
      <c r="Y7" s="375"/>
      <c r="Z7" s="375"/>
      <c r="AA7" s="375"/>
      <c r="AB7" s="375"/>
      <c r="AC7" s="375"/>
      <c r="AD7" s="375"/>
      <c r="AE7" s="375"/>
      <c r="AF7" s="375"/>
      <c r="AG7" s="375"/>
      <c r="AH7" s="375"/>
      <c r="AI7" s="375"/>
      <c r="AJ7" s="375"/>
      <c r="AK7" s="375"/>
      <c r="AL7" s="375"/>
      <c r="AM7" s="375"/>
      <c r="AN7" s="375"/>
      <c r="AO7" s="375"/>
      <c r="AP7" s="375"/>
      <c r="AQ7" s="375"/>
      <c r="AR7" s="375"/>
      <c r="AS7" s="375"/>
      <c r="AT7" s="375"/>
      <c r="AU7" s="375"/>
      <c r="AV7" s="375"/>
      <c r="AW7" s="375"/>
      <c r="AX7" s="375"/>
      <c r="AY7" s="375"/>
      <c r="AZ7" s="375"/>
      <c r="BA7" s="375"/>
      <c r="BB7" s="375"/>
      <c r="BC7" s="375"/>
      <c r="BD7" s="375"/>
      <c r="BE7" s="375"/>
      <c r="BF7" s="375"/>
      <c r="BG7" s="375"/>
      <c r="BH7" s="375"/>
      <c r="BI7" s="375"/>
      <c r="BJ7" s="375"/>
      <c r="BK7" s="375"/>
      <c r="BL7" s="375"/>
      <c r="BM7" s="375"/>
      <c r="BN7" s="375"/>
      <c r="BO7" s="375"/>
      <c r="BP7" s="375"/>
      <c r="BQ7" s="375"/>
      <c r="BR7" s="375"/>
      <c r="BS7" s="375"/>
      <c r="BT7" s="375"/>
      <c r="BU7" s="375"/>
      <c r="BV7" s="375"/>
      <c r="BW7" s="375"/>
      <c r="BX7" s="375"/>
      <c r="BY7" s="375"/>
      <c r="BZ7" s="375"/>
      <c r="CA7" s="375"/>
      <c r="CB7" s="375"/>
      <c r="CC7" s="375"/>
      <c r="CD7" s="375"/>
      <c r="CE7" s="375"/>
      <c r="CF7" s="375"/>
      <c r="CG7" s="375"/>
      <c r="CH7" s="375"/>
      <c r="CI7" s="375"/>
      <c r="CJ7" s="375"/>
      <c r="CK7" s="375"/>
      <c r="CL7" s="375"/>
      <c r="CM7" s="375"/>
      <c r="CN7" s="375"/>
      <c r="CO7" s="375"/>
      <c r="CP7" s="375"/>
      <c r="CQ7" s="375"/>
      <c r="CR7" s="375"/>
      <c r="CS7" s="375"/>
      <c r="CT7" s="375"/>
      <c r="CU7" s="375"/>
      <c r="CV7" s="375"/>
      <c r="CW7" s="375"/>
      <c r="CX7" s="375"/>
      <c r="CY7" s="375"/>
      <c r="CZ7" s="375"/>
      <c r="DA7" s="375"/>
      <c r="DB7" s="375"/>
      <c r="DC7" s="375"/>
      <c r="DD7" s="375"/>
      <c r="DE7" s="375"/>
      <c r="DF7" s="375"/>
      <c r="DG7" s="375"/>
      <c r="DH7" s="375"/>
      <c r="DI7" s="375"/>
      <c r="DJ7" s="375"/>
      <c r="DK7" s="375"/>
      <c r="DL7" s="375"/>
      <c r="DM7" s="375"/>
      <c r="DN7" s="375"/>
      <c r="DO7" s="375"/>
      <c r="DP7" s="375"/>
      <c r="DQ7" s="375"/>
      <c r="DR7" s="375"/>
      <c r="DS7" s="375"/>
      <c r="DT7" s="375"/>
      <c r="DU7" s="375"/>
      <c r="DV7" s="375"/>
      <c r="DW7" s="375"/>
      <c r="DX7" s="375"/>
      <c r="DY7" s="375"/>
      <c r="DZ7" s="375"/>
      <c r="EA7" s="375"/>
      <c r="EB7" s="375"/>
      <c r="EC7" s="375"/>
      <c r="ED7" s="375"/>
      <c r="EE7" s="375"/>
      <c r="EF7" s="375"/>
      <c r="EG7" s="375"/>
      <c r="EH7" s="375"/>
      <c r="EI7" s="375"/>
      <c r="EJ7" s="375"/>
      <c r="EK7" s="375"/>
      <c r="EL7" s="375"/>
      <c r="EM7" s="375"/>
      <c r="EN7" s="375"/>
      <c r="EO7" s="375"/>
      <c r="EP7" s="375"/>
      <c r="EQ7" s="375"/>
      <c r="ER7" s="375"/>
      <c r="ES7" s="375"/>
      <c r="ET7" s="375"/>
      <c r="EU7" s="375"/>
      <c r="EV7" s="375"/>
      <c r="EW7" s="375"/>
      <c r="EX7" s="375"/>
      <c r="EY7" s="375"/>
      <c r="EZ7" s="375"/>
      <c r="FA7" s="375"/>
      <c r="FB7" s="375"/>
      <c r="FC7" s="375"/>
      <c r="FD7" s="375"/>
      <c r="FE7" s="375"/>
      <c r="FF7" s="375"/>
      <c r="FG7" s="375"/>
      <c r="FH7" s="375"/>
      <c r="FI7" s="375"/>
      <c r="FJ7" s="375"/>
      <c r="FK7" s="375"/>
      <c r="FL7" s="375"/>
      <c r="FM7" s="375"/>
      <c r="FN7" s="375"/>
      <c r="FO7" s="375"/>
      <c r="FP7" s="375"/>
      <c r="FQ7" s="375"/>
      <c r="FR7" s="375"/>
      <c r="FS7" s="375"/>
      <c r="FT7" s="375"/>
      <c r="FU7" s="375"/>
      <c r="FV7" s="375"/>
      <c r="FW7" s="375"/>
      <c r="FX7" s="375"/>
      <c r="FY7" s="375"/>
      <c r="FZ7" s="375"/>
      <c r="GA7" s="375"/>
      <c r="GB7" s="375"/>
      <c r="GC7" s="375"/>
      <c r="GD7" s="375"/>
      <c r="GE7" s="375"/>
      <c r="GF7" s="375"/>
      <c r="GG7" s="375"/>
      <c r="GH7" s="375"/>
      <c r="GI7" s="375"/>
      <c r="GJ7" s="375"/>
      <c r="GK7" s="375"/>
      <c r="GL7" s="375"/>
      <c r="GM7" s="375"/>
      <c r="GN7" s="375"/>
      <c r="GO7" s="375"/>
      <c r="GP7" s="375"/>
      <c r="GQ7" s="375"/>
      <c r="GR7" s="375"/>
      <c r="GS7" s="375"/>
      <c r="GT7" s="375"/>
      <c r="GU7" s="375"/>
      <c r="GV7" s="375"/>
      <c r="GW7" s="375"/>
      <c r="GX7" s="375"/>
      <c r="GY7" s="375"/>
      <c r="GZ7" s="375"/>
      <c r="HA7" s="375"/>
      <c r="HB7" s="375"/>
      <c r="HC7" s="375"/>
      <c r="HD7" s="375"/>
      <c r="HE7" s="375"/>
      <c r="HF7" s="375"/>
      <c r="HG7" s="375"/>
      <c r="HH7" s="375"/>
      <c r="HI7" s="375"/>
      <c r="HJ7" s="375"/>
      <c r="HK7" s="375"/>
      <c r="HL7" s="375"/>
      <c r="HM7" s="375"/>
      <c r="HN7" s="375"/>
      <c r="HO7" s="375"/>
      <c r="HP7" s="375"/>
      <c r="HQ7" s="375"/>
      <c r="HR7" s="375"/>
      <c r="HS7" s="375"/>
      <c r="HT7" s="375"/>
      <c r="HU7" s="375"/>
      <c r="HV7" s="375"/>
      <c r="HW7" s="375"/>
      <c r="HX7" s="375"/>
      <c r="HY7" s="375"/>
      <c r="HZ7" s="375"/>
      <c r="IA7" s="375"/>
      <c r="IB7" s="375"/>
      <c r="IC7" s="375"/>
      <c r="ID7" s="375"/>
      <c r="IE7" s="375"/>
      <c r="IF7" s="375"/>
      <c r="IG7" s="375"/>
      <c r="IH7" s="375"/>
      <c r="II7" s="375"/>
      <c r="IJ7" s="375"/>
      <c r="IK7" s="375"/>
      <c r="IL7" s="375"/>
      <c r="IM7" s="375"/>
      <c r="IN7" s="375"/>
      <c r="IO7" s="375"/>
      <c r="IP7" s="375"/>
      <c r="IQ7" s="375"/>
      <c r="IR7" s="387"/>
      <c r="IS7" s="387"/>
      <c r="IT7" s="387"/>
      <c r="IU7" s="387"/>
      <c r="IV7" s="387"/>
    </row>
    <row r="8" s="369" customFormat="1" ht="24.95" customHeight="1" spans="1:256">
      <c r="A8" s="378" t="s">
        <v>1126</v>
      </c>
      <c r="B8" s="383">
        <f>B4*B5-B6*B4-B7</f>
        <v>0</v>
      </c>
      <c r="C8" s="383">
        <f>C4*C5-C6*C4-C7</f>
        <v>0</v>
      </c>
      <c r="D8" s="384" t="e">
        <f>(C8-B8)/B8</f>
        <v>#DIV/0!</v>
      </c>
      <c r="E8" s="378"/>
      <c r="F8" s="375"/>
      <c r="G8" s="375"/>
      <c r="H8" s="375"/>
      <c r="I8" s="375"/>
      <c r="J8" s="375"/>
      <c r="K8" s="375"/>
      <c r="L8" s="375"/>
      <c r="M8" s="375"/>
      <c r="N8" s="375"/>
      <c r="O8" s="375"/>
      <c r="P8" s="375"/>
      <c r="Q8" s="375"/>
      <c r="R8" s="375"/>
      <c r="S8" s="375"/>
      <c r="T8" s="375"/>
      <c r="U8" s="375"/>
      <c r="V8" s="375"/>
      <c r="W8" s="375"/>
      <c r="X8" s="375"/>
      <c r="Y8" s="375"/>
      <c r="Z8" s="375"/>
      <c r="AA8" s="375"/>
      <c r="AB8" s="375"/>
      <c r="AC8" s="375"/>
      <c r="AD8" s="375"/>
      <c r="AE8" s="375"/>
      <c r="AF8" s="375"/>
      <c r="AG8" s="375"/>
      <c r="AH8" s="375"/>
      <c r="AI8" s="375"/>
      <c r="AJ8" s="375"/>
      <c r="AK8" s="375"/>
      <c r="AL8" s="375"/>
      <c r="AM8" s="375"/>
      <c r="AN8" s="375"/>
      <c r="AO8" s="375"/>
      <c r="AP8" s="375"/>
      <c r="AQ8" s="375"/>
      <c r="AR8" s="375"/>
      <c r="AS8" s="375"/>
      <c r="AT8" s="375"/>
      <c r="AU8" s="375"/>
      <c r="AV8" s="375"/>
      <c r="AW8" s="375"/>
      <c r="AX8" s="375"/>
      <c r="AY8" s="375"/>
      <c r="AZ8" s="375"/>
      <c r="BA8" s="375"/>
      <c r="BB8" s="375"/>
      <c r="BC8" s="375"/>
      <c r="BD8" s="375"/>
      <c r="BE8" s="375"/>
      <c r="BF8" s="375"/>
      <c r="BG8" s="375"/>
      <c r="BH8" s="375"/>
      <c r="BI8" s="375"/>
      <c r="BJ8" s="375"/>
      <c r="BK8" s="375"/>
      <c r="BL8" s="375"/>
      <c r="BM8" s="375"/>
      <c r="BN8" s="375"/>
      <c r="BO8" s="375"/>
      <c r="BP8" s="375"/>
      <c r="BQ8" s="375"/>
      <c r="BR8" s="375"/>
      <c r="BS8" s="375"/>
      <c r="BT8" s="375"/>
      <c r="BU8" s="375"/>
      <c r="BV8" s="375"/>
      <c r="BW8" s="375"/>
      <c r="BX8" s="375"/>
      <c r="BY8" s="375"/>
      <c r="BZ8" s="375"/>
      <c r="CA8" s="375"/>
      <c r="CB8" s="375"/>
      <c r="CC8" s="375"/>
      <c r="CD8" s="375"/>
      <c r="CE8" s="375"/>
      <c r="CF8" s="375"/>
      <c r="CG8" s="375"/>
      <c r="CH8" s="375"/>
      <c r="CI8" s="375"/>
      <c r="CJ8" s="375"/>
      <c r="CK8" s="375"/>
      <c r="CL8" s="375"/>
      <c r="CM8" s="375"/>
      <c r="CN8" s="375"/>
      <c r="CO8" s="375"/>
      <c r="CP8" s="375"/>
      <c r="CQ8" s="375"/>
      <c r="CR8" s="375"/>
      <c r="CS8" s="375"/>
      <c r="CT8" s="375"/>
      <c r="CU8" s="375"/>
      <c r="CV8" s="375"/>
      <c r="CW8" s="375"/>
      <c r="CX8" s="375"/>
      <c r="CY8" s="375"/>
      <c r="CZ8" s="375"/>
      <c r="DA8" s="375"/>
      <c r="DB8" s="375"/>
      <c r="DC8" s="375"/>
      <c r="DD8" s="375"/>
      <c r="DE8" s="375"/>
      <c r="DF8" s="375"/>
      <c r="DG8" s="375"/>
      <c r="DH8" s="375"/>
      <c r="DI8" s="375"/>
      <c r="DJ8" s="375"/>
      <c r="DK8" s="375"/>
      <c r="DL8" s="375"/>
      <c r="DM8" s="375"/>
      <c r="DN8" s="375"/>
      <c r="DO8" s="375"/>
      <c r="DP8" s="375"/>
      <c r="DQ8" s="375"/>
      <c r="DR8" s="375"/>
      <c r="DS8" s="375"/>
      <c r="DT8" s="375"/>
      <c r="DU8" s="375"/>
      <c r="DV8" s="375"/>
      <c r="DW8" s="375"/>
      <c r="DX8" s="375"/>
      <c r="DY8" s="375"/>
      <c r="DZ8" s="375"/>
      <c r="EA8" s="375"/>
      <c r="EB8" s="375"/>
      <c r="EC8" s="375"/>
      <c r="ED8" s="375"/>
      <c r="EE8" s="375"/>
      <c r="EF8" s="375"/>
      <c r="EG8" s="375"/>
      <c r="EH8" s="375"/>
      <c r="EI8" s="375"/>
      <c r="EJ8" s="375"/>
      <c r="EK8" s="375"/>
      <c r="EL8" s="375"/>
      <c r="EM8" s="375"/>
      <c r="EN8" s="375"/>
      <c r="EO8" s="375"/>
      <c r="EP8" s="375"/>
      <c r="EQ8" s="375"/>
      <c r="ER8" s="375"/>
      <c r="ES8" s="375"/>
      <c r="ET8" s="375"/>
      <c r="EU8" s="375"/>
      <c r="EV8" s="375"/>
      <c r="EW8" s="375"/>
      <c r="EX8" s="375"/>
      <c r="EY8" s="375"/>
      <c r="EZ8" s="375"/>
      <c r="FA8" s="375"/>
      <c r="FB8" s="375"/>
      <c r="FC8" s="375"/>
      <c r="FD8" s="375"/>
      <c r="FE8" s="375"/>
      <c r="FF8" s="375"/>
      <c r="FG8" s="375"/>
      <c r="FH8" s="375"/>
      <c r="FI8" s="375"/>
      <c r="FJ8" s="375"/>
      <c r="FK8" s="375"/>
      <c r="FL8" s="375"/>
      <c r="FM8" s="375"/>
      <c r="FN8" s="375"/>
      <c r="FO8" s="375"/>
      <c r="FP8" s="375"/>
      <c r="FQ8" s="375"/>
      <c r="FR8" s="375"/>
      <c r="FS8" s="375"/>
      <c r="FT8" s="375"/>
      <c r="FU8" s="375"/>
      <c r="FV8" s="375"/>
      <c r="FW8" s="375"/>
      <c r="FX8" s="375"/>
      <c r="FY8" s="375"/>
      <c r="FZ8" s="375"/>
      <c r="GA8" s="375"/>
      <c r="GB8" s="375"/>
      <c r="GC8" s="375"/>
      <c r="GD8" s="375"/>
      <c r="GE8" s="375"/>
      <c r="GF8" s="375"/>
      <c r="GG8" s="375"/>
      <c r="GH8" s="375"/>
      <c r="GI8" s="375"/>
      <c r="GJ8" s="375"/>
      <c r="GK8" s="375"/>
      <c r="GL8" s="375"/>
      <c r="GM8" s="375"/>
      <c r="GN8" s="375"/>
      <c r="GO8" s="375"/>
      <c r="GP8" s="375"/>
      <c r="GQ8" s="375"/>
      <c r="GR8" s="375"/>
      <c r="GS8" s="375"/>
      <c r="GT8" s="375"/>
      <c r="GU8" s="375"/>
      <c r="GV8" s="375"/>
      <c r="GW8" s="375"/>
      <c r="GX8" s="375"/>
      <c r="GY8" s="375"/>
      <c r="GZ8" s="375"/>
      <c r="HA8" s="375"/>
      <c r="HB8" s="375"/>
      <c r="HC8" s="375"/>
      <c r="HD8" s="375"/>
      <c r="HE8" s="375"/>
      <c r="HF8" s="375"/>
      <c r="HG8" s="375"/>
      <c r="HH8" s="375"/>
      <c r="HI8" s="375"/>
      <c r="HJ8" s="375"/>
      <c r="HK8" s="375"/>
      <c r="HL8" s="375"/>
      <c r="HM8" s="375"/>
      <c r="HN8" s="375"/>
      <c r="HO8" s="375"/>
      <c r="HP8" s="375"/>
      <c r="HQ8" s="375"/>
      <c r="HR8" s="375"/>
      <c r="HS8" s="375"/>
      <c r="HT8" s="375"/>
      <c r="HU8" s="375"/>
      <c r="HV8" s="375"/>
      <c r="HW8" s="375"/>
      <c r="HX8" s="375"/>
      <c r="HY8" s="375"/>
      <c r="HZ8" s="375"/>
      <c r="IA8" s="375"/>
      <c r="IB8" s="375"/>
      <c r="IC8" s="375"/>
      <c r="ID8" s="375"/>
      <c r="IE8" s="375"/>
      <c r="IF8" s="375"/>
      <c r="IG8" s="375"/>
      <c r="IH8" s="375"/>
      <c r="II8" s="375"/>
      <c r="IJ8" s="375"/>
      <c r="IK8" s="375"/>
      <c r="IL8" s="375"/>
      <c r="IM8" s="375"/>
      <c r="IN8" s="375"/>
      <c r="IO8" s="375"/>
      <c r="IP8" s="375"/>
      <c r="IQ8" s="375"/>
      <c r="IR8" s="387"/>
      <c r="IS8" s="387"/>
      <c r="IT8" s="387"/>
      <c r="IU8" s="387"/>
      <c r="IV8" s="387"/>
    </row>
    <row r="9" s="369" customFormat="1" ht="24.95" customHeight="1" spans="1:256">
      <c r="A9" s="385"/>
      <c r="B9" s="385"/>
      <c r="C9" s="385"/>
      <c r="D9" s="385"/>
      <c r="E9" s="385"/>
      <c r="F9" s="375"/>
      <c r="G9" s="375"/>
      <c r="H9" s="375"/>
      <c r="I9" s="375"/>
      <c r="J9" s="375"/>
      <c r="K9" s="375"/>
      <c r="L9" s="375"/>
      <c r="M9" s="375"/>
      <c r="N9" s="375"/>
      <c r="O9" s="375"/>
      <c r="P9" s="375"/>
      <c r="Q9" s="375"/>
      <c r="R9" s="375"/>
      <c r="S9" s="375"/>
      <c r="T9" s="375"/>
      <c r="U9" s="375"/>
      <c r="V9" s="375"/>
      <c r="W9" s="375"/>
      <c r="X9" s="375"/>
      <c r="Y9" s="375"/>
      <c r="Z9" s="375"/>
      <c r="AA9" s="375"/>
      <c r="AB9" s="375"/>
      <c r="AC9" s="375"/>
      <c r="AD9" s="375"/>
      <c r="AE9" s="375"/>
      <c r="AF9" s="375"/>
      <c r="AG9" s="375"/>
      <c r="AH9" s="375"/>
      <c r="AI9" s="375"/>
      <c r="AJ9" s="375"/>
      <c r="AK9" s="375"/>
      <c r="AL9" s="375"/>
      <c r="AM9" s="375"/>
      <c r="AN9" s="375"/>
      <c r="AO9" s="375"/>
      <c r="AP9" s="375"/>
      <c r="AQ9" s="375"/>
      <c r="AR9" s="375"/>
      <c r="AS9" s="375"/>
      <c r="AT9" s="375"/>
      <c r="AU9" s="375"/>
      <c r="AV9" s="375"/>
      <c r="AW9" s="375"/>
      <c r="AX9" s="375"/>
      <c r="AY9" s="375"/>
      <c r="AZ9" s="375"/>
      <c r="BA9" s="375"/>
      <c r="BB9" s="375"/>
      <c r="BC9" s="375"/>
      <c r="BD9" s="375"/>
      <c r="BE9" s="375"/>
      <c r="BF9" s="375"/>
      <c r="BG9" s="375"/>
      <c r="BH9" s="375"/>
      <c r="BI9" s="375"/>
      <c r="BJ9" s="375"/>
      <c r="BK9" s="375"/>
      <c r="BL9" s="375"/>
      <c r="BM9" s="375"/>
      <c r="BN9" s="375"/>
      <c r="BO9" s="375"/>
      <c r="BP9" s="375"/>
      <c r="BQ9" s="375"/>
      <c r="BR9" s="375"/>
      <c r="BS9" s="375"/>
      <c r="BT9" s="375"/>
      <c r="BU9" s="375"/>
      <c r="BV9" s="375"/>
      <c r="BW9" s="375"/>
      <c r="BX9" s="375"/>
      <c r="BY9" s="375"/>
      <c r="BZ9" s="375"/>
      <c r="CA9" s="375"/>
      <c r="CB9" s="375"/>
      <c r="CC9" s="375"/>
      <c r="CD9" s="375"/>
      <c r="CE9" s="375"/>
      <c r="CF9" s="375"/>
      <c r="CG9" s="375"/>
      <c r="CH9" s="375"/>
      <c r="CI9" s="375"/>
      <c r="CJ9" s="375"/>
      <c r="CK9" s="375"/>
      <c r="CL9" s="375"/>
      <c r="CM9" s="375"/>
      <c r="CN9" s="375"/>
      <c r="CO9" s="375"/>
      <c r="CP9" s="375"/>
      <c r="CQ9" s="375"/>
      <c r="CR9" s="375"/>
      <c r="CS9" s="375"/>
      <c r="CT9" s="375"/>
      <c r="CU9" s="375"/>
      <c r="CV9" s="375"/>
      <c r="CW9" s="375"/>
      <c r="CX9" s="375"/>
      <c r="CY9" s="375"/>
      <c r="CZ9" s="375"/>
      <c r="DA9" s="375"/>
      <c r="DB9" s="375"/>
      <c r="DC9" s="375"/>
      <c r="DD9" s="375"/>
      <c r="DE9" s="375"/>
      <c r="DF9" s="375"/>
      <c r="DG9" s="375"/>
      <c r="DH9" s="375"/>
      <c r="DI9" s="375"/>
      <c r="DJ9" s="375"/>
      <c r="DK9" s="375"/>
      <c r="DL9" s="375"/>
      <c r="DM9" s="375"/>
      <c r="DN9" s="375"/>
      <c r="DO9" s="375"/>
      <c r="DP9" s="375"/>
      <c r="DQ9" s="375"/>
      <c r="DR9" s="375"/>
      <c r="DS9" s="375"/>
      <c r="DT9" s="375"/>
      <c r="DU9" s="375"/>
      <c r="DV9" s="375"/>
      <c r="DW9" s="375"/>
      <c r="DX9" s="375"/>
      <c r="DY9" s="375"/>
      <c r="DZ9" s="375"/>
      <c r="EA9" s="375"/>
      <c r="EB9" s="375"/>
      <c r="EC9" s="375"/>
      <c r="ED9" s="375"/>
      <c r="EE9" s="375"/>
      <c r="EF9" s="375"/>
      <c r="EG9" s="375"/>
      <c r="EH9" s="375"/>
      <c r="EI9" s="375"/>
      <c r="EJ9" s="375"/>
      <c r="EK9" s="375"/>
      <c r="EL9" s="375"/>
      <c r="EM9" s="375"/>
      <c r="EN9" s="375"/>
      <c r="EO9" s="375"/>
      <c r="EP9" s="375"/>
      <c r="EQ9" s="375"/>
      <c r="ER9" s="375"/>
      <c r="ES9" s="375"/>
      <c r="ET9" s="375"/>
      <c r="EU9" s="375"/>
      <c r="EV9" s="375"/>
      <c r="EW9" s="375"/>
      <c r="EX9" s="375"/>
      <c r="EY9" s="375"/>
      <c r="EZ9" s="375"/>
      <c r="FA9" s="375"/>
      <c r="FB9" s="375"/>
      <c r="FC9" s="375"/>
      <c r="FD9" s="375"/>
      <c r="FE9" s="375"/>
      <c r="FF9" s="375"/>
      <c r="FG9" s="375"/>
      <c r="FH9" s="375"/>
      <c r="FI9" s="375"/>
      <c r="FJ9" s="375"/>
      <c r="FK9" s="375"/>
      <c r="FL9" s="375"/>
      <c r="FM9" s="375"/>
      <c r="FN9" s="375"/>
      <c r="FO9" s="375"/>
      <c r="FP9" s="375"/>
      <c r="FQ9" s="375"/>
      <c r="FR9" s="375"/>
      <c r="FS9" s="375"/>
      <c r="FT9" s="375"/>
      <c r="FU9" s="375"/>
      <c r="FV9" s="375"/>
      <c r="FW9" s="375"/>
      <c r="FX9" s="375"/>
      <c r="FY9" s="375"/>
      <c r="FZ9" s="375"/>
      <c r="GA9" s="375"/>
      <c r="GB9" s="375"/>
      <c r="GC9" s="375"/>
      <c r="GD9" s="375"/>
      <c r="GE9" s="375"/>
      <c r="GF9" s="375"/>
      <c r="GG9" s="375"/>
      <c r="GH9" s="375"/>
      <c r="GI9" s="375"/>
      <c r="GJ9" s="375"/>
      <c r="GK9" s="375"/>
      <c r="GL9" s="375"/>
      <c r="GM9" s="375"/>
      <c r="GN9" s="375"/>
      <c r="GO9" s="375"/>
      <c r="GP9" s="375"/>
      <c r="GQ9" s="375"/>
      <c r="GR9" s="375"/>
      <c r="GS9" s="375"/>
      <c r="GT9" s="375"/>
      <c r="GU9" s="375"/>
      <c r="GV9" s="375"/>
      <c r="GW9" s="375"/>
      <c r="GX9" s="375"/>
      <c r="GY9" s="375"/>
      <c r="GZ9" s="375"/>
      <c r="HA9" s="375"/>
      <c r="HB9" s="375"/>
      <c r="HC9" s="375"/>
      <c r="HD9" s="375"/>
      <c r="HE9" s="375"/>
      <c r="HF9" s="375"/>
      <c r="HG9" s="375"/>
      <c r="HH9" s="375"/>
      <c r="HI9" s="375"/>
      <c r="HJ9" s="375"/>
      <c r="HK9" s="375"/>
      <c r="HL9" s="375"/>
      <c r="HM9" s="375"/>
      <c r="HN9" s="375"/>
      <c r="HO9" s="375"/>
      <c r="HP9" s="375"/>
      <c r="HQ9" s="375"/>
      <c r="HR9" s="375"/>
      <c r="HS9" s="375"/>
      <c r="HT9" s="375"/>
      <c r="HU9" s="375"/>
      <c r="HV9" s="375"/>
      <c r="HW9" s="375"/>
      <c r="HX9" s="375"/>
      <c r="HY9" s="375"/>
      <c r="HZ9" s="375"/>
      <c r="IA9" s="375"/>
      <c r="IB9" s="375"/>
      <c r="IC9" s="375"/>
      <c r="ID9" s="375"/>
      <c r="IE9" s="375"/>
      <c r="IF9" s="375"/>
      <c r="IG9" s="375"/>
      <c r="IH9" s="375"/>
      <c r="II9" s="375"/>
      <c r="IJ9" s="375"/>
      <c r="IK9" s="375"/>
      <c r="IL9" s="375"/>
      <c r="IM9" s="375"/>
      <c r="IN9" s="375"/>
      <c r="IO9" s="375"/>
      <c r="IP9" s="375"/>
      <c r="IQ9" s="375"/>
      <c r="IR9" s="387"/>
      <c r="IS9" s="387"/>
      <c r="IT9" s="387"/>
      <c r="IU9" s="387"/>
      <c r="IV9" s="387"/>
    </row>
    <row r="10" s="368" customFormat="1" ht="24.95" customHeight="1" spans="1:256">
      <c r="A10" s="376" t="s">
        <v>996</v>
      </c>
      <c r="B10" s="376" t="s">
        <v>1112</v>
      </c>
      <c r="C10" s="376" t="s">
        <v>1118</v>
      </c>
      <c r="D10" s="376" t="s">
        <v>1119</v>
      </c>
      <c r="E10" s="376" t="s">
        <v>1120</v>
      </c>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86"/>
      <c r="IS10" s="386"/>
      <c r="IT10" s="386"/>
      <c r="IU10" s="386"/>
      <c r="IV10" s="386"/>
    </row>
    <row r="11" s="369" customFormat="1" ht="24.95" customHeight="1" spans="1:256">
      <c r="A11" s="378" t="s">
        <v>1113</v>
      </c>
      <c r="B11" s="380">
        <f t="shared" ref="B11:B14" si="1">D4</f>
        <v>1</v>
      </c>
      <c r="C11" s="383">
        <f t="shared" ref="C11:C14" si="2">$C$8</f>
        <v>0</v>
      </c>
      <c r="D11" s="383">
        <f t="shared" ref="D11:D14" si="3">C11-$B$8</f>
        <v>0</v>
      </c>
      <c r="E11" s="384" t="e">
        <f t="shared" ref="E11:E14" si="4">D11/$B$8</f>
        <v>#DIV/0!</v>
      </c>
      <c r="F11" s="375"/>
      <c r="G11" s="375"/>
      <c r="H11" s="375"/>
      <c r="I11" s="375"/>
      <c r="J11" s="375"/>
      <c r="K11" s="375"/>
      <c r="L11" s="375"/>
      <c r="M11" s="375"/>
      <c r="N11" s="375"/>
      <c r="O11" s="375"/>
      <c r="P11" s="375"/>
      <c r="Q11" s="375"/>
      <c r="R11" s="375"/>
      <c r="S11" s="375"/>
      <c r="T11" s="375"/>
      <c r="U11" s="375"/>
      <c r="V11" s="375"/>
      <c r="W11" s="375"/>
      <c r="X11" s="375"/>
      <c r="Y11" s="375"/>
      <c r="Z11" s="375"/>
      <c r="AA11" s="375"/>
      <c r="AB11" s="375"/>
      <c r="AC11" s="375"/>
      <c r="AD11" s="375"/>
      <c r="AE11" s="375"/>
      <c r="AF11" s="375"/>
      <c r="AG11" s="375"/>
      <c r="AH11" s="375"/>
      <c r="AI11" s="375"/>
      <c r="AJ11" s="375"/>
      <c r="AK11" s="375"/>
      <c r="AL11" s="375"/>
      <c r="AM11" s="375"/>
      <c r="AN11" s="375"/>
      <c r="AO11" s="375"/>
      <c r="AP11" s="375"/>
      <c r="AQ11" s="375"/>
      <c r="AR11" s="375"/>
      <c r="AS11" s="375"/>
      <c r="AT11" s="375"/>
      <c r="AU11" s="375"/>
      <c r="AV11" s="375"/>
      <c r="AW11" s="375"/>
      <c r="AX11" s="375"/>
      <c r="AY11" s="375"/>
      <c r="AZ11" s="375"/>
      <c r="BA11" s="375"/>
      <c r="BB11" s="375"/>
      <c r="BC11" s="375"/>
      <c r="BD11" s="375"/>
      <c r="BE11" s="375"/>
      <c r="BF11" s="375"/>
      <c r="BG11" s="375"/>
      <c r="BH11" s="375"/>
      <c r="BI11" s="375"/>
      <c r="BJ11" s="375"/>
      <c r="BK11" s="375"/>
      <c r="BL11" s="375"/>
      <c r="BM11" s="375"/>
      <c r="BN11" s="375"/>
      <c r="BO11" s="375"/>
      <c r="BP11" s="375"/>
      <c r="BQ11" s="375"/>
      <c r="BR11" s="375"/>
      <c r="BS11" s="375"/>
      <c r="BT11" s="375"/>
      <c r="BU11" s="375"/>
      <c r="BV11" s="375"/>
      <c r="BW11" s="375"/>
      <c r="BX11" s="375"/>
      <c r="BY11" s="375"/>
      <c r="BZ11" s="375"/>
      <c r="CA11" s="375"/>
      <c r="CB11" s="375"/>
      <c r="CC11" s="375"/>
      <c r="CD11" s="375"/>
      <c r="CE11" s="375"/>
      <c r="CF11" s="375"/>
      <c r="CG11" s="375"/>
      <c r="CH11" s="375"/>
      <c r="CI11" s="375"/>
      <c r="CJ11" s="375"/>
      <c r="CK11" s="375"/>
      <c r="CL11" s="375"/>
      <c r="CM11" s="375"/>
      <c r="CN11" s="375"/>
      <c r="CO11" s="375"/>
      <c r="CP11" s="375"/>
      <c r="CQ11" s="375"/>
      <c r="CR11" s="375"/>
      <c r="CS11" s="375"/>
      <c r="CT11" s="375"/>
      <c r="CU11" s="375"/>
      <c r="CV11" s="375"/>
      <c r="CW11" s="375"/>
      <c r="CX11" s="375"/>
      <c r="CY11" s="375"/>
      <c r="CZ11" s="375"/>
      <c r="DA11" s="375"/>
      <c r="DB11" s="375"/>
      <c r="DC11" s="375"/>
      <c r="DD11" s="375"/>
      <c r="DE11" s="375"/>
      <c r="DF11" s="375"/>
      <c r="DG11" s="375"/>
      <c r="DH11" s="375"/>
      <c r="DI11" s="375"/>
      <c r="DJ11" s="375"/>
      <c r="DK11" s="375"/>
      <c r="DL11" s="375"/>
      <c r="DM11" s="375"/>
      <c r="DN11" s="375"/>
      <c r="DO11" s="375"/>
      <c r="DP11" s="375"/>
      <c r="DQ11" s="375"/>
      <c r="DR11" s="375"/>
      <c r="DS11" s="375"/>
      <c r="DT11" s="375"/>
      <c r="DU11" s="375"/>
      <c r="DV11" s="375"/>
      <c r="DW11" s="375"/>
      <c r="DX11" s="375"/>
      <c r="DY11" s="375"/>
      <c r="DZ11" s="375"/>
      <c r="EA11" s="375"/>
      <c r="EB11" s="375"/>
      <c r="EC11" s="375"/>
      <c r="ED11" s="375"/>
      <c r="EE11" s="375"/>
      <c r="EF11" s="375"/>
      <c r="EG11" s="375"/>
      <c r="EH11" s="375"/>
      <c r="EI11" s="375"/>
      <c r="EJ11" s="375"/>
      <c r="EK11" s="375"/>
      <c r="EL11" s="375"/>
      <c r="EM11" s="375"/>
      <c r="EN11" s="375"/>
      <c r="EO11" s="375"/>
      <c r="EP11" s="375"/>
      <c r="EQ11" s="375"/>
      <c r="ER11" s="375"/>
      <c r="ES11" s="375"/>
      <c r="ET11" s="375"/>
      <c r="EU11" s="375"/>
      <c r="EV11" s="375"/>
      <c r="EW11" s="375"/>
      <c r="EX11" s="375"/>
      <c r="EY11" s="375"/>
      <c r="EZ11" s="375"/>
      <c r="FA11" s="375"/>
      <c r="FB11" s="375"/>
      <c r="FC11" s="375"/>
      <c r="FD11" s="375"/>
      <c r="FE11" s="375"/>
      <c r="FF11" s="375"/>
      <c r="FG11" s="375"/>
      <c r="FH11" s="375"/>
      <c r="FI11" s="375"/>
      <c r="FJ11" s="375"/>
      <c r="FK11" s="375"/>
      <c r="FL11" s="375"/>
      <c r="FM11" s="375"/>
      <c r="FN11" s="375"/>
      <c r="FO11" s="375"/>
      <c r="FP11" s="375"/>
      <c r="FQ11" s="375"/>
      <c r="FR11" s="375"/>
      <c r="FS11" s="375"/>
      <c r="FT11" s="375"/>
      <c r="FU11" s="375"/>
      <c r="FV11" s="375"/>
      <c r="FW11" s="375"/>
      <c r="FX11" s="375"/>
      <c r="FY11" s="375"/>
      <c r="FZ11" s="375"/>
      <c r="GA11" s="375"/>
      <c r="GB11" s="375"/>
      <c r="GC11" s="375"/>
      <c r="GD11" s="375"/>
      <c r="GE11" s="375"/>
      <c r="GF11" s="375"/>
      <c r="GG11" s="375"/>
      <c r="GH11" s="375"/>
      <c r="GI11" s="375"/>
      <c r="GJ11" s="375"/>
      <c r="GK11" s="375"/>
      <c r="GL11" s="375"/>
      <c r="GM11" s="375"/>
      <c r="GN11" s="375"/>
      <c r="GO11" s="375"/>
      <c r="GP11" s="375"/>
      <c r="GQ11" s="375"/>
      <c r="GR11" s="375"/>
      <c r="GS11" s="375"/>
      <c r="GT11" s="375"/>
      <c r="GU11" s="375"/>
      <c r="GV11" s="375"/>
      <c r="GW11" s="375"/>
      <c r="GX11" s="375"/>
      <c r="GY11" s="375"/>
      <c r="GZ11" s="375"/>
      <c r="HA11" s="375"/>
      <c r="HB11" s="375"/>
      <c r="HC11" s="375"/>
      <c r="HD11" s="375"/>
      <c r="HE11" s="375"/>
      <c r="HF11" s="375"/>
      <c r="HG11" s="375"/>
      <c r="HH11" s="375"/>
      <c r="HI11" s="375"/>
      <c r="HJ11" s="375"/>
      <c r="HK11" s="375"/>
      <c r="HL11" s="375"/>
      <c r="HM11" s="375"/>
      <c r="HN11" s="375"/>
      <c r="HO11" s="375"/>
      <c r="HP11" s="375"/>
      <c r="HQ11" s="375"/>
      <c r="HR11" s="375"/>
      <c r="HS11" s="375"/>
      <c r="HT11" s="375"/>
      <c r="HU11" s="375"/>
      <c r="HV11" s="375"/>
      <c r="HW11" s="375"/>
      <c r="HX11" s="375"/>
      <c r="HY11" s="375"/>
      <c r="HZ11" s="375"/>
      <c r="IA11" s="375"/>
      <c r="IB11" s="375"/>
      <c r="IC11" s="375"/>
      <c r="ID11" s="375"/>
      <c r="IE11" s="375"/>
      <c r="IF11" s="375"/>
      <c r="IG11" s="375"/>
      <c r="IH11" s="375"/>
      <c r="II11" s="375"/>
      <c r="IJ11" s="375"/>
      <c r="IK11" s="375"/>
      <c r="IL11" s="375"/>
      <c r="IM11" s="375"/>
      <c r="IN11" s="375"/>
      <c r="IO11" s="375"/>
      <c r="IP11" s="375"/>
      <c r="IQ11" s="375"/>
      <c r="IR11" s="387"/>
      <c r="IS11" s="387"/>
      <c r="IT11" s="387"/>
      <c r="IU11" s="387"/>
      <c r="IV11" s="387"/>
    </row>
    <row r="12" s="369" customFormat="1" ht="24.95" customHeight="1" spans="1:256">
      <c r="A12" s="378" t="s">
        <v>1114</v>
      </c>
      <c r="B12" s="380">
        <f t="shared" si="1"/>
        <v>0</v>
      </c>
      <c r="C12" s="383">
        <f t="shared" si="2"/>
        <v>0</v>
      </c>
      <c r="D12" s="383">
        <f t="shared" si="3"/>
        <v>0</v>
      </c>
      <c r="E12" s="384" t="e">
        <f t="shared" si="4"/>
        <v>#DIV/0!</v>
      </c>
      <c r="F12" s="375"/>
      <c r="G12" s="375"/>
      <c r="H12" s="375"/>
      <c r="I12" s="375"/>
      <c r="J12" s="375"/>
      <c r="K12" s="375"/>
      <c r="L12" s="375"/>
      <c r="M12" s="375"/>
      <c r="N12" s="375"/>
      <c r="O12" s="375"/>
      <c r="P12" s="375"/>
      <c r="Q12" s="375"/>
      <c r="R12" s="375"/>
      <c r="S12" s="375"/>
      <c r="T12" s="375"/>
      <c r="U12" s="375"/>
      <c r="V12" s="375"/>
      <c r="W12" s="375"/>
      <c r="X12" s="375"/>
      <c r="Y12" s="375"/>
      <c r="Z12" s="375"/>
      <c r="AA12" s="375"/>
      <c r="AB12" s="375"/>
      <c r="AC12" s="375"/>
      <c r="AD12" s="375"/>
      <c r="AE12" s="375"/>
      <c r="AF12" s="375"/>
      <c r="AG12" s="375"/>
      <c r="AH12" s="375"/>
      <c r="AI12" s="375"/>
      <c r="AJ12" s="375"/>
      <c r="AK12" s="375"/>
      <c r="AL12" s="375"/>
      <c r="AM12" s="375"/>
      <c r="AN12" s="375"/>
      <c r="AO12" s="375"/>
      <c r="AP12" s="375"/>
      <c r="AQ12" s="375"/>
      <c r="AR12" s="375"/>
      <c r="AS12" s="375"/>
      <c r="AT12" s="375"/>
      <c r="AU12" s="375"/>
      <c r="AV12" s="375"/>
      <c r="AW12" s="375"/>
      <c r="AX12" s="375"/>
      <c r="AY12" s="375"/>
      <c r="AZ12" s="375"/>
      <c r="BA12" s="375"/>
      <c r="BB12" s="375"/>
      <c r="BC12" s="375"/>
      <c r="BD12" s="375"/>
      <c r="BE12" s="375"/>
      <c r="BF12" s="375"/>
      <c r="BG12" s="375"/>
      <c r="BH12" s="375"/>
      <c r="BI12" s="375"/>
      <c r="BJ12" s="375"/>
      <c r="BK12" s="375"/>
      <c r="BL12" s="375"/>
      <c r="BM12" s="375"/>
      <c r="BN12" s="375"/>
      <c r="BO12" s="375"/>
      <c r="BP12" s="375"/>
      <c r="BQ12" s="375"/>
      <c r="BR12" s="375"/>
      <c r="BS12" s="375"/>
      <c r="BT12" s="375"/>
      <c r="BU12" s="375"/>
      <c r="BV12" s="375"/>
      <c r="BW12" s="375"/>
      <c r="BX12" s="375"/>
      <c r="BY12" s="375"/>
      <c r="BZ12" s="375"/>
      <c r="CA12" s="375"/>
      <c r="CB12" s="375"/>
      <c r="CC12" s="375"/>
      <c r="CD12" s="375"/>
      <c r="CE12" s="375"/>
      <c r="CF12" s="375"/>
      <c r="CG12" s="375"/>
      <c r="CH12" s="375"/>
      <c r="CI12" s="375"/>
      <c r="CJ12" s="375"/>
      <c r="CK12" s="375"/>
      <c r="CL12" s="375"/>
      <c r="CM12" s="375"/>
      <c r="CN12" s="375"/>
      <c r="CO12" s="375"/>
      <c r="CP12" s="375"/>
      <c r="CQ12" s="375"/>
      <c r="CR12" s="375"/>
      <c r="CS12" s="375"/>
      <c r="CT12" s="375"/>
      <c r="CU12" s="375"/>
      <c r="CV12" s="375"/>
      <c r="CW12" s="375"/>
      <c r="CX12" s="375"/>
      <c r="CY12" s="375"/>
      <c r="CZ12" s="375"/>
      <c r="DA12" s="375"/>
      <c r="DB12" s="375"/>
      <c r="DC12" s="375"/>
      <c r="DD12" s="375"/>
      <c r="DE12" s="375"/>
      <c r="DF12" s="375"/>
      <c r="DG12" s="375"/>
      <c r="DH12" s="375"/>
      <c r="DI12" s="375"/>
      <c r="DJ12" s="375"/>
      <c r="DK12" s="375"/>
      <c r="DL12" s="375"/>
      <c r="DM12" s="375"/>
      <c r="DN12" s="375"/>
      <c r="DO12" s="375"/>
      <c r="DP12" s="375"/>
      <c r="DQ12" s="375"/>
      <c r="DR12" s="375"/>
      <c r="DS12" s="375"/>
      <c r="DT12" s="375"/>
      <c r="DU12" s="375"/>
      <c r="DV12" s="375"/>
      <c r="DW12" s="375"/>
      <c r="DX12" s="375"/>
      <c r="DY12" s="375"/>
      <c r="DZ12" s="375"/>
      <c r="EA12" s="375"/>
      <c r="EB12" s="375"/>
      <c r="EC12" s="375"/>
      <c r="ED12" s="375"/>
      <c r="EE12" s="375"/>
      <c r="EF12" s="375"/>
      <c r="EG12" s="375"/>
      <c r="EH12" s="375"/>
      <c r="EI12" s="375"/>
      <c r="EJ12" s="375"/>
      <c r="EK12" s="375"/>
      <c r="EL12" s="375"/>
      <c r="EM12" s="375"/>
      <c r="EN12" s="375"/>
      <c r="EO12" s="375"/>
      <c r="EP12" s="375"/>
      <c r="EQ12" s="375"/>
      <c r="ER12" s="375"/>
      <c r="ES12" s="375"/>
      <c r="ET12" s="375"/>
      <c r="EU12" s="375"/>
      <c r="EV12" s="375"/>
      <c r="EW12" s="375"/>
      <c r="EX12" s="375"/>
      <c r="EY12" s="375"/>
      <c r="EZ12" s="375"/>
      <c r="FA12" s="375"/>
      <c r="FB12" s="375"/>
      <c r="FC12" s="375"/>
      <c r="FD12" s="375"/>
      <c r="FE12" s="375"/>
      <c r="FF12" s="375"/>
      <c r="FG12" s="375"/>
      <c r="FH12" s="375"/>
      <c r="FI12" s="375"/>
      <c r="FJ12" s="375"/>
      <c r="FK12" s="375"/>
      <c r="FL12" s="375"/>
      <c r="FM12" s="375"/>
      <c r="FN12" s="375"/>
      <c r="FO12" s="375"/>
      <c r="FP12" s="375"/>
      <c r="FQ12" s="375"/>
      <c r="FR12" s="375"/>
      <c r="FS12" s="375"/>
      <c r="FT12" s="375"/>
      <c r="FU12" s="375"/>
      <c r="FV12" s="375"/>
      <c r="FW12" s="375"/>
      <c r="FX12" s="375"/>
      <c r="FY12" s="375"/>
      <c r="FZ12" s="375"/>
      <c r="GA12" s="375"/>
      <c r="GB12" s="375"/>
      <c r="GC12" s="375"/>
      <c r="GD12" s="375"/>
      <c r="GE12" s="375"/>
      <c r="GF12" s="375"/>
      <c r="GG12" s="375"/>
      <c r="GH12" s="375"/>
      <c r="GI12" s="375"/>
      <c r="GJ12" s="375"/>
      <c r="GK12" s="375"/>
      <c r="GL12" s="375"/>
      <c r="GM12" s="375"/>
      <c r="GN12" s="375"/>
      <c r="GO12" s="375"/>
      <c r="GP12" s="375"/>
      <c r="GQ12" s="375"/>
      <c r="GR12" s="375"/>
      <c r="GS12" s="375"/>
      <c r="GT12" s="375"/>
      <c r="GU12" s="375"/>
      <c r="GV12" s="375"/>
      <c r="GW12" s="375"/>
      <c r="GX12" s="375"/>
      <c r="GY12" s="375"/>
      <c r="GZ12" s="375"/>
      <c r="HA12" s="375"/>
      <c r="HB12" s="375"/>
      <c r="HC12" s="375"/>
      <c r="HD12" s="375"/>
      <c r="HE12" s="375"/>
      <c r="HF12" s="375"/>
      <c r="HG12" s="375"/>
      <c r="HH12" s="375"/>
      <c r="HI12" s="375"/>
      <c r="HJ12" s="375"/>
      <c r="HK12" s="375"/>
      <c r="HL12" s="375"/>
      <c r="HM12" s="375"/>
      <c r="HN12" s="375"/>
      <c r="HO12" s="375"/>
      <c r="HP12" s="375"/>
      <c r="HQ12" s="375"/>
      <c r="HR12" s="375"/>
      <c r="HS12" s="375"/>
      <c r="HT12" s="375"/>
      <c r="HU12" s="375"/>
      <c r="HV12" s="375"/>
      <c r="HW12" s="375"/>
      <c r="HX12" s="375"/>
      <c r="HY12" s="375"/>
      <c r="HZ12" s="375"/>
      <c r="IA12" s="375"/>
      <c r="IB12" s="375"/>
      <c r="IC12" s="375"/>
      <c r="ID12" s="375"/>
      <c r="IE12" s="375"/>
      <c r="IF12" s="375"/>
      <c r="IG12" s="375"/>
      <c r="IH12" s="375"/>
      <c r="II12" s="375"/>
      <c r="IJ12" s="375"/>
      <c r="IK12" s="375"/>
      <c r="IL12" s="375"/>
      <c r="IM12" s="375"/>
      <c r="IN12" s="375"/>
      <c r="IO12" s="375"/>
      <c r="IP12" s="375"/>
      <c r="IQ12" s="375"/>
      <c r="IR12" s="387"/>
      <c r="IS12" s="387"/>
      <c r="IT12" s="387"/>
      <c r="IU12" s="387"/>
      <c r="IV12" s="387"/>
    </row>
    <row r="13" s="369" customFormat="1" ht="24.95" customHeight="1" spans="1:256">
      <c r="A13" s="378" t="s">
        <v>1115</v>
      </c>
      <c r="B13" s="380">
        <f t="shared" si="1"/>
        <v>0</v>
      </c>
      <c r="C13" s="383">
        <f t="shared" si="2"/>
        <v>0</v>
      </c>
      <c r="D13" s="383">
        <f t="shared" si="3"/>
        <v>0</v>
      </c>
      <c r="E13" s="384" t="e">
        <f t="shared" si="4"/>
        <v>#DIV/0!</v>
      </c>
      <c r="F13" s="375"/>
      <c r="G13" s="375"/>
      <c r="H13" s="375"/>
      <c r="I13" s="375"/>
      <c r="J13" s="375"/>
      <c r="K13" s="375"/>
      <c r="L13" s="375"/>
      <c r="M13" s="375"/>
      <c r="N13" s="375"/>
      <c r="O13" s="375"/>
      <c r="P13" s="375"/>
      <c r="Q13" s="375"/>
      <c r="R13" s="375"/>
      <c r="S13" s="375"/>
      <c r="T13" s="375"/>
      <c r="U13" s="375"/>
      <c r="V13" s="375"/>
      <c r="W13" s="375"/>
      <c r="X13" s="375"/>
      <c r="Y13" s="375"/>
      <c r="Z13" s="375"/>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87"/>
      <c r="IS13" s="387"/>
      <c r="IT13" s="387"/>
      <c r="IU13" s="387"/>
      <c r="IV13" s="387"/>
    </row>
    <row r="14" s="369" customFormat="1" ht="24.95" customHeight="1" spans="1:256">
      <c r="A14" s="378" t="s">
        <v>1116</v>
      </c>
      <c r="B14" s="380">
        <f t="shared" si="1"/>
        <v>0</v>
      </c>
      <c r="C14" s="383">
        <f t="shared" si="2"/>
        <v>0</v>
      </c>
      <c r="D14" s="383">
        <f t="shared" si="3"/>
        <v>0</v>
      </c>
      <c r="E14" s="384" t="e">
        <f t="shared" si="4"/>
        <v>#DIV/0!</v>
      </c>
      <c r="F14" s="375"/>
      <c r="G14" s="375"/>
      <c r="H14" s="375"/>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5"/>
      <c r="AO14" s="375"/>
      <c r="AP14" s="375"/>
      <c r="AQ14" s="375"/>
      <c r="AR14" s="375"/>
      <c r="AS14" s="375"/>
      <c r="AT14" s="375"/>
      <c r="AU14" s="375"/>
      <c r="AV14" s="375"/>
      <c r="AW14" s="375"/>
      <c r="AX14" s="375"/>
      <c r="AY14" s="375"/>
      <c r="AZ14" s="375"/>
      <c r="BA14" s="375"/>
      <c r="BB14" s="375"/>
      <c r="BC14" s="375"/>
      <c r="BD14" s="375"/>
      <c r="BE14" s="375"/>
      <c r="BF14" s="375"/>
      <c r="BG14" s="375"/>
      <c r="BH14" s="375"/>
      <c r="BI14" s="375"/>
      <c r="BJ14" s="375"/>
      <c r="BK14" s="375"/>
      <c r="BL14" s="375"/>
      <c r="BM14" s="375"/>
      <c r="BN14" s="375"/>
      <c r="BO14" s="375"/>
      <c r="BP14" s="375"/>
      <c r="BQ14" s="375"/>
      <c r="BR14" s="375"/>
      <c r="BS14" s="375"/>
      <c r="BT14" s="375"/>
      <c r="BU14" s="375"/>
      <c r="BV14" s="375"/>
      <c r="BW14" s="375"/>
      <c r="BX14" s="375"/>
      <c r="BY14" s="375"/>
      <c r="BZ14" s="375"/>
      <c r="CA14" s="375"/>
      <c r="CB14" s="375"/>
      <c r="CC14" s="375"/>
      <c r="CD14" s="375"/>
      <c r="CE14" s="375"/>
      <c r="CF14" s="375"/>
      <c r="CG14" s="375"/>
      <c r="CH14" s="375"/>
      <c r="CI14" s="375"/>
      <c r="CJ14" s="375"/>
      <c r="CK14" s="375"/>
      <c r="CL14" s="375"/>
      <c r="CM14" s="375"/>
      <c r="CN14" s="375"/>
      <c r="CO14" s="375"/>
      <c r="CP14" s="375"/>
      <c r="CQ14" s="375"/>
      <c r="CR14" s="375"/>
      <c r="CS14" s="375"/>
      <c r="CT14" s="375"/>
      <c r="CU14" s="375"/>
      <c r="CV14" s="375"/>
      <c r="CW14" s="375"/>
      <c r="CX14" s="375"/>
      <c r="CY14" s="375"/>
      <c r="CZ14" s="375"/>
      <c r="DA14" s="375"/>
      <c r="DB14" s="375"/>
      <c r="DC14" s="375"/>
      <c r="DD14" s="375"/>
      <c r="DE14" s="375"/>
      <c r="DF14" s="375"/>
      <c r="DG14" s="375"/>
      <c r="DH14" s="375"/>
      <c r="DI14" s="375"/>
      <c r="DJ14" s="375"/>
      <c r="DK14" s="375"/>
      <c r="DL14" s="375"/>
      <c r="DM14" s="375"/>
      <c r="DN14" s="375"/>
      <c r="DO14" s="375"/>
      <c r="DP14" s="375"/>
      <c r="DQ14" s="375"/>
      <c r="DR14" s="375"/>
      <c r="DS14" s="375"/>
      <c r="DT14" s="375"/>
      <c r="DU14" s="375"/>
      <c r="DV14" s="375"/>
      <c r="DW14" s="375"/>
      <c r="DX14" s="375"/>
      <c r="DY14" s="375"/>
      <c r="DZ14" s="375"/>
      <c r="EA14" s="375"/>
      <c r="EB14" s="375"/>
      <c r="EC14" s="375"/>
      <c r="ED14" s="375"/>
      <c r="EE14" s="375"/>
      <c r="EF14" s="375"/>
      <c r="EG14" s="375"/>
      <c r="EH14" s="375"/>
      <c r="EI14" s="375"/>
      <c r="EJ14" s="375"/>
      <c r="EK14" s="375"/>
      <c r="EL14" s="375"/>
      <c r="EM14" s="375"/>
      <c r="EN14" s="375"/>
      <c r="EO14" s="375"/>
      <c r="EP14" s="375"/>
      <c r="EQ14" s="375"/>
      <c r="ER14" s="375"/>
      <c r="ES14" s="375"/>
      <c r="ET14" s="375"/>
      <c r="EU14" s="375"/>
      <c r="EV14" s="375"/>
      <c r="EW14" s="375"/>
      <c r="EX14" s="375"/>
      <c r="EY14" s="375"/>
      <c r="EZ14" s="375"/>
      <c r="FA14" s="375"/>
      <c r="FB14" s="375"/>
      <c r="FC14" s="375"/>
      <c r="FD14" s="375"/>
      <c r="FE14" s="375"/>
      <c r="FF14" s="375"/>
      <c r="FG14" s="375"/>
      <c r="FH14" s="375"/>
      <c r="FI14" s="375"/>
      <c r="FJ14" s="375"/>
      <c r="FK14" s="375"/>
      <c r="FL14" s="375"/>
      <c r="FM14" s="375"/>
      <c r="FN14" s="375"/>
      <c r="FO14" s="375"/>
      <c r="FP14" s="375"/>
      <c r="FQ14" s="375"/>
      <c r="FR14" s="375"/>
      <c r="FS14" s="375"/>
      <c r="FT14" s="375"/>
      <c r="FU14" s="375"/>
      <c r="FV14" s="375"/>
      <c r="FW14" s="375"/>
      <c r="FX14" s="375"/>
      <c r="FY14" s="375"/>
      <c r="FZ14" s="375"/>
      <c r="GA14" s="375"/>
      <c r="GB14" s="375"/>
      <c r="GC14" s="375"/>
      <c r="GD14" s="375"/>
      <c r="GE14" s="375"/>
      <c r="GF14" s="375"/>
      <c r="GG14" s="375"/>
      <c r="GH14" s="375"/>
      <c r="GI14" s="375"/>
      <c r="GJ14" s="375"/>
      <c r="GK14" s="375"/>
      <c r="GL14" s="375"/>
      <c r="GM14" s="375"/>
      <c r="GN14" s="375"/>
      <c r="GO14" s="375"/>
      <c r="GP14" s="375"/>
      <c r="GQ14" s="375"/>
      <c r="GR14" s="375"/>
      <c r="GS14" s="375"/>
      <c r="GT14" s="375"/>
      <c r="GU14" s="375"/>
      <c r="GV14" s="375"/>
      <c r="GW14" s="375"/>
      <c r="GX14" s="375"/>
      <c r="GY14" s="375"/>
      <c r="GZ14" s="375"/>
      <c r="HA14" s="375"/>
      <c r="HB14" s="375"/>
      <c r="HC14" s="375"/>
      <c r="HD14" s="375"/>
      <c r="HE14" s="375"/>
      <c r="HF14" s="375"/>
      <c r="HG14" s="375"/>
      <c r="HH14" s="375"/>
      <c r="HI14" s="375"/>
      <c r="HJ14" s="375"/>
      <c r="HK14" s="375"/>
      <c r="HL14" s="375"/>
      <c r="HM14" s="375"/>
      <c r="HN14" s="375"/>
      <c r="HO14" s="375"/>
      <c r="HP14" s="375"/>
      <c r="HQ14" s="375"/>
      <c r="HR14" s="375"/>
      <c r="HS14" s="375"/>
      <c r="HT14" s="375"/>
      <c r="HU14" s="375"/>
      <c r="HV14" s="375"/>
      <c r="HW14" s="375"/>
      <c r="HX14" s="375"/>
      <c r="HY14" s="375"/>
      <c r="HZ14" s="375"/>
      <c r="IA14" s="375"/>
      <c r="IB14" s="375"/>
      <c r="IC14" s="375"/>
      <c r="ID14" s="375"/>
      <c r="IE14" s="375"/>
      <c r="IF14" s="375"/>
      <c r="IG14" s="375"/>
      <c r="IH14" s="375"/>
      <c r="II14" s="375"/>
      <c r="IJ14" s="375"/>
      <c r="IK14" s="375"/>
      <c r="IL14" s="375"/>
      <c r="IM14" s="375"/>
      <c r="IN14" s="375"/>
      <c r="IO14" s="375"/>
      <c r="IP14" s="375"/>
      <c r="IQ14" s="375"/>
      <c r="IR14" s="387"/>
      <c r="IS14" s="387"/>
      <c r="IT14" s="387"/>
      <c r="IU14" s="387"/>
      <c r="IV14" s="387"/>
    </row>
    <row r="15" s="369" customFormat="1" ht="24.95" customHeight="1" spans="1:256">
      <c r="A15" s="373"/>
      <c r="B15" s="373"/>
      <c r="C15" s="373"/>
      <c r="D15" s="373"/>
      <c r="E15" s="373"/>
      <c r="F15" s="375"/>
      <c r="G15" s="375"/>
      <c r="H15" s="375"/>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s="375"/>
      <c r="AP15" s="375"/>
      <c r="AQ15" s="375"/>
      <c r="AR15" s="375"/>
      <c r="AS15" s="375"/>
      <c r="AT15" s="375"/>
      <c r="AU15" s="375"/>
      <c r="AV15" s="375"/>
      <c r="AW15" s="375"/>
      <c r="AX15" s="375"/>
      <c r="AY15" s="375"/>
      <c r="AZ15" s="375"/>
      <c r="BA15" s="375"/>
      <c r="BB15" s="375"/>
      <c r="BC15" s="375"/>
      <c r="BD15" s="375"/>
      <c r="BE15" s="375"/>
      <c r="BF15" s="375"/>
      <c r="BG15" s="375"/>
      <c r="BH15" s="375"/>
      <c r="BI15" s="375"/>
      <c r="BJ15" s="375"/>
      <c r="BK15" s="375"/>
      <c r="BL15" s="375"/>
      <c r="BM15" s="375"/>
      <c r="BN15" s="375"/>
      <c r="BO15" s="375"/>
      <c r="BP15" s="375"/>
      <c r="BQ15" s="375"/>
      <c r="BR15" s="375"/>
      <c r="BS15" s="375"/>
      <c r="BT15" s="375"/>
      <c r="BU15" s="375"/>
      <c r="BV15" s="375"/>
      <c r="BW15" s="375"/>
      <c r="BX15" s="375"/>
      <c r="BY15" s="375"/>
      <c r="BZ15" s="375"/>
      <c r="CA15" s="375"/>
      <c r="CB15" s="375"/>
      <c r="CC15" s="375"/>
      <c r="CD15" s="375"/>
      <c r="CE15" s="375"/>
      <c r="CF15" s="375"/>
      <c r="CG15" s="375"/>
      <c r="CH15" s="375"/>
      <c r="CI15" s="375"/>
      <c r="CJ15" s="375"/>
      <c r="CK15" s="375"/>
      <c r="CL15" s="375"/>
      <c r="CM15" s="375"/>
      <c r="CN15" s="375"/>
      <c r="CO15" s="375"/>
      <c r="CP15" s="375"/>
      <c r="CQ15" s="375"/>
      <c r="CR15" s="375"/>
      <c r="CS15" s="375"/>
      <c r="CT15" s="375"/>
      <c r="CU15" s="375"/>
      <c r="CV15" s="375"/>
      <c r="CW15" s="375"/>
      <c r="CX15" s="375"/>
      <c r="CY15" s="375"/>
      <c r="CZ15" s="375"/>
      <c r="DA15" s="375"/>
      <c r="DB15" s="375"/>
      <c r="DC15" s="375"/>
      <c r="DD15" s="375"/>
      <c r="DE15" s="375"/>
      <c r="DF15" s="375"/>
      <c r="DG15" s="375"/>
      <c r="DH15" s="375"/>
      <c r="DI15" s="375"/>
      <c r="DJ15" s="375"/>
      <c r="DK15" s="375"/>
      <c r="DL15" s="375"/>
      <c r="DM15" s="375"/>
      <c r="DN15" s="375"/>
      <c r="DO15" s="375"/>
      <c r="DP15" s="375"/>
      <c r="DQ15" s="375"/>
      <c r="DR15" s="375"/>
      <c r="DS15" s="375"/>
      <c r="DT15" s="375"/>
      <c r="DU15" s="375"/>
      <c r="DV15" s="375"/>
      <c r="DW15" s="375"/>
      <c r="DX15" s="375"/>
      <c r="DY15" s="375"/>
      <c r="DZ15" s="375"/>
      <c r="EA15" s="375"/>
      <c r="EB15" s="375"/>
      <c r="EC15" s="375"/>
      <c r="ED15" s="375"/>
      <c r="EE15" s="375"/>
      <c r="EF15" s="375"/>
      <c r="EG15" s="375"/>
      <c r="EH15" s="375"/>
      <c r="EI15" s="375"/>
      <c r="EJ15" s="375"/>
      <c r="EK15" s="375"/>
      <c r="EL15" s="375"/>
      <c r="EM15" s="375"/>
      <c r="EN15" s="375"/>
      <c r="EO15" s="375"/>
      <c r="EP15" s="375"/>
      <c r="EQ15" s="375"/>
      <c r="ER15" s="375"/>
      <c r="ES15" s="375"/>
      <c r="ET15" s="375"/>
      <c r="EU15" s="375"/>
      <c r="EV15" s="375"/>
      <c r="EW15" s="375"/>
      <c r="EX15" s="375"/>
      <c r="EY15" s="375"/>
      <c r="EZ15" s="375"/>
      <c r="FA15" s="375"/>
      <c r="FB15" s="375"/>
      <c r="FC15" s="375"/>
      <c r="FD15" s="375"/>
      <c r="FE15" s="375"/>
      <c r="FF15" s="375"/>
      <c r="FG15" s="375"/>
      <c r="FH15" s="375"/>
      <c r="FI15" s="375"/>
      <c r="FJ15" s="375"/>
      <c r="FK15" s="375"/>
      <c r="FL15" s="375"/>
      <c r="FM15" s="375"/>
      <c r="FN15" s="375"/>
      <c r="FO15" s="375"/>
      <c r="FP15" s="375"/>
      <c r="FQ15" s="375"/>
      <c r="FR15" s="375"/>
      <c r="FS15" s="375"/>
      <c r="FT15" s="375"/>
      <c r="FU15" s="375"/>
      <c r="FV15" s="375"/>
      <c r="FW15" s="375"/>
      <c r="FX15" s="375"/>
      <c r="FY15" s="375"/>
      <c r="FZ15" s="375"/>
      <c r="GA15" s="375"/>
      <c r="GB15" s="375"/>
      <c r="GC15" s="375"/>
      <c r="GD15" s="375"/>
      <c r="GE15" s="375"/>
      <c r="GF15" s="375"/>
      <c r="GG15" s="375"/>
      <c r="GH15" s="375"/>
      <c r="GI15" s="375"/>
      <c r="GJ15" s="375"/>
      <c r="GK15" s="375"/>
      <c r="GL15" s="375"/>
      <c r="GM15" s="375"/>
      <c r="GN15" s="375"/>
      <c r="GO15" s="375"/>
      <c r="GP15" s="375"/>
      <c r="GQ15" s="375"/>
      <c r="GR15" s="375"/>
      <c r="GS15" s="375"/>
      <c r="GT15" s="375"/>
      <c r="GU15" s="375"/>
      <c r="GV15" s="375"/>
      <c r="GW15" s="375"/>
      <c r="GX15" s="375"/>
      <c r="GY15" s="375"/>
      <c r="GZ15" s="375"/>
      <c r="HA15" s="375"/>
      <c r="HB15" s="375"/>
      <c r="HC15" s="375"/>
      <c r="HD15" s="375"/>
      <c r="HE15" s="375"/>
      <c r="HF15" s="375"/>
      <c r="HG15" s="375"/>
      <c r="HH15" s="375"/>
      <c r="HI15" s="375"/>
      <c r="HJ15" s="375"/>
      <c r="HK15" s="375"/>
      <c r="HL15" s="375"/>
      <c r="HM15" s="375"/>
      <c r="HN15" s="375"/>
      <c r="HO15" s="375"/>
      <c r="HP15" s="375"/>
      <c r="HQ15" s="375"/>
      <c r="HR15" s="375"/>
      <c r="HS15" s="375"/>
      <c r="HT15" s="375"/>
      <c r="HU15" s="375"/>
      <c r="HV15" s="375"/>
      <c r="HW15" s="375"/>
      <c r="HX15" s="375"/>
      <c r="HY15" s="375"/>
      <c r="HZ15" s="375"/>
      <c r="IA15" s="375"/>
      <c r="IB15" s="375"/>
      <c r="IC15" s="375"/>
      <c r="ID15" s="375"/>
      <c r="IE15" s="375"/>
      <c r="IF15" s="375"/>
      <c r="IG15" s="375"/>
      <c r="IH15" s="375"/>
      <c r="II15" s="375"/>
      <c r="IJ15" s="375"/>
      <c r="IK15" s="375"/>
      <c r="IL15" s="375"/>
      <c r="IM15" s="375"/>
      <c r="IN15" s="375"/>
      <c r="IO15" s="375"/>
      <c r="IP15" s="375"/>
      <c r="IQ15" s="375"/>
      <c r="IR15" s="387"/>
      <c r="IS15" s="387"/>
      <c r="IT15" s="387"/>
      <c r="IU15" s="387"/>
      <c r="IV15" s="387"/>
    </row>
  </sheetData>
  <mergeCells count="4">
    <mergeCell ref="A1:E1"/>
    <mergeCell ref="A2:B2"/>
    <mergeCell ref="A9:E9"/>
    <mergeCell ref="A15:E15"/>
  </mergeCells>
  <pageMargins left="0.75" right="0.75" top="1" bottom="1" header="0.509027777777778" footer="0.509027777777778"/>
  <headerFooter/>
  <drawing r:id="rId2"/>
  <legacyDrawing r:id="rId3"/>
  <mc:AlternateContent xmlns:mc="http://schemas.openxmlformats.org/markup-compatibility/2006">
    <mc:Choice Requires="x14">
      <controls>
        <mc:AlternateContent xmlns:mc="http://schemas.openxmlformats.org/markup-compatibility/2006">
          <mc:Choice Requires="x14">
            <control shapeId="223233" name="滚动条 61" r:id="rId4">
              <controlPr defaultSize="0">
                <anchor moveWithCells="1">
                  <from>
                    <xdr:col>4</xdr:col>
                    <xdr:colOff>6985</xdr:colOff>
                    <xdr:row>3</xdr:row>
                    <xdr:rowOff>22225</xdr:rowOff>
                  </from>
                  <to>
                    <xdr:col>4</xdr:col>
                    <xdr:colOff>914400</xdr:colOff>
                    <xdr:row>3</xdr:row>
                    <xdr:rowOff>200660</xdr:rowOff>
                  </to>
                </anchor>
              </controlPr>
            </control>
          </mc:Choice>
        </mc:AlternateContent>
        <mc:AlternateContent xmlns:mc="http://schemas.openxmlformats.org/markup-compatibility/2006">
          <mc:Choice Requires="x14">
            <control shapeId="223234" name="滚动条 62" r:id="rId5">
              <controlPr defaultSize="0">
                <anchor moveWithCells="1">
                  <from>
                    <xdr:col>4</xdr:col>
                    <xdr:colOff>6985</xdr:colOff>
                    <xdr:row>4</xdr:row>
                    <xdr:rowOff>29210</xdr:rowOff>
                  </from>
                  <to>
                    <xdr:col>4</xdr:col>
                    <xdr:colOff>914400</xdr:colOff>
                    <xdr:row>4</xdr:row>
                    <xdr:rowOff>215265</xdr:rowOff>
                  </to>
                </anchor>
              </controlPr>
            </control>
          </mc:Choice>
        </mc:AlternateContent>
        <mc:AlternateContent xmlns:mc="http://schemas.openxmlformats.org/markup-compatibility/2006">
          <mc:Choice Requires="x14">
            <control shapeId="223235" name="滚动条 63" r:id="rId6">
              <controlPr defaultSize="0">
                <anchor moveWithCells="1">
                  <from>
                    <xdr:col>4</xdr:col>
                    <xdr:colOff>6985</xdr:colOff>
                    <xdr:row>5</xdr:row>
                    <xdr:rowOff>29210</xdr:rowOff>
                  </from>
                  <to>
                    <xdr:col>4</xdr:col>
                    <xdr:colOff>914400</xdr:colOff>
                    <xdr:row>5</xdr:row>
                    <xdr:rowOff>215265</xdr:rowOff>
                  </to>
                </anchor>
              </controlPr>
            </control>
          </mc:Choice>
        </mc:AlternateContent>
        <mc:AlternateContent xmlns:mc="http://schemas.openxmlformats.org/markup-compatibility/2006">
          <mc:Choice Requires="x14">
            <control shapeId="223236" name="滚动条 64" r:id="rId7">
              <controlPr defaultSize="0">
                <anchor moveWithCells="1">
                  <from>
                    <xdr:col>4</xdr:col>
                    <xdr:colOff>6985</xdr:colOff>
                    <xdr:row>6</xdr:row>
                    <xdr:rowOff>22225</xdr:rowOff>
                  </from>
                  <to>
                    <xdr:col>4</xdr:col>
                    <xdr:colOff>914400</xdr:colOff>
                    <xdr:row>6</xdr:row>
                    <xdr:rowOff>200660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IV35"/>
  <sheetViews>
    <sheetView zoomScale="90" zoomScaleNormal="90" workbookViewId="0">
      <selection activeCell="D14" sqref="D14"/>
    </sheetView>
  </sheetViews>
  <sheetFormatPr defaultColWidth="9" defaultRowHeight="17.25"/>
  <cols>
    <col min="1" max="1" width="31.875" style="347" customWidth="1"/>
    <col min="2" max="2" width="31.875" style="348" customWidth="1"/>
    <col min="3" max="4" width="31.875" style="347" customWidth="1"/>
    <col min="5" max="255" width="9" style="347" customWidth="1"/>
    <col min="256" max="16384" width="9" style="331"/>
  </cols>
  <sheetData>
    <row r="1" s="93" customFormat="1" ht="29.25" spans="1:256">
      <c r="A1" s="349" t="s">
        <v>1127</v>
      </c>
      <c r="B1" s="349"/>
      <c r="C1" s="349"/>
      <c r="D1" s="349"/>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c r="BB1" s="347"/>
      <c r="BC1" s="347"/>
      <c r="BD1" s="347"/>
      <c r="BE1" s="347"/>
      <c r="BF1" s="347"/>
      <c r="BG1" s="347"/>
      <c r="BH1" s="347"/>
      <c r="BI1" s="347"/>
      <c r="BJ1" s="347"/>
      <c r="BK1" s="347"/>
      <c r="BL1" s="347"/>
      <c r="BM1" s="347"/>
      <c r="BN1" s="347"/>
      <c r="BO1" s="347"/>
      <c r="BP1" s="347"/>
      <c r="BQ1" s="347"/>
      <c r="BR1" s="347"/>
      <c r="BS1" s="347"/>
      <c r="BT1" s="347"/>
      <c r="BU1" s="347"/>
      <c r="BV1" s="347"/>
      <c r="BW1" s="347"/>
      <c r="BX1" s="347"/>
      <c r="BY1" s="347"/>
      <c r="BZ1" s="347"/>
      <c r="CA1" s="347"/>
      <c r="CB1" s="347"/>
      <c r="CC1" s="347"/>
      <c r="CD1" s="347"/>
      <c r="CE1" s="347"/>
      <c r="CF1" s="347"/>
      <c r="CG1" s="347"/>
      <c r="CH1" s="347"/>
      <c r="CI1" s="347"/>
      <c r="CJ1" s="347"/>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347"/>
      <c r="DU1" s="347"/>
      <c r="DV1" s="347"/>
      <c r="DW1" s="347"/>
      <c r="DX1" s="347"/>
      <c r="DY1" s="347"/>
      <c r="DZ1" s="347"/>
      <c r="EA1" s="347"/>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347"/>
      <c r="FL1" s="347"/>
      <c r="FM1" s="347"/>
      <c r="FN1" s="347"/>
      <c r="FO1" s="347"/>
      <c r="FP1" s="347"/>
      <c r="FQ1" s="347"/>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347"/>
      <c r="HB1" s="347"/>
      <c r="HC1" s="347"/>
      <c r="HD1" s="347"/>
      <c r="HE1" s="347"/>
      <c r="HF1" s="347"/>
      <c r="HG1" s="347"/>
      <c r="HH1" s="347"/>
      <c r="HI1" s="347"/>
      <c r="HJ1" s="347"/>
      <c r="HK1" s="347"/>
      <c r="HL1" s="347"/>
      <c r="HM1" s="347"/>
      <c r="HN1" s="347"/>
      <c r="HO1" s="347"/>
      <c r="HP1" s="347"/>
      <c r="HQ1" s="347"/>
      <c r="HR1" s="347"/>
      <c r="HS1" s="347"/>
      <c r="HT1" s="347"/>
      <c r="HU1" s="347"/>
      <c r="HV1" s="347"/>
      <c r="HW1" s="347"/>
      <c r="HX1" s="347"/>
      <c r="HY1" s="347"/>
      <c r="HZ1" s="347"/>
      <c r="IA1" s="347"/>
      <c r="IB1" s="347"/>
      <c r="IC1" s="347"/>
      <c r="ID1" s="347"/>
      <c r="IE1" s="347"/>
      <c r="IF1" s="347"/>
      <c r="IG1" s="347"/>
      <c r="IH1" s="347"/>
      <c r="II1" s="347"/>
      <c r="IJ1" s="347"/>
      <c r="IK1" s="347"/>
      <c r="IL1" s="347"/>
      <c r="IM1" s="347"/>
      <c r="IN1" s="347"/>
      <c r="IO1" s="347"/>
      <c r="IP1" s="347"/>
      <c r="IQ1" s="347"/>
      <c r="IR1" s="347"/>
      <c r="IS1" s="347"/>
      <c r="IT1" s="347"/>
      <c r="IU1" s="347"/>
      <c r="IV1" s="331"/>
    </row>
    <row r="2" s="93" customFormat="1" spans="1:256">
      <c r="A2" s="350"/>
      <c r="B2" s="102"/>
      <c r="C2" s="102"/>
      <c r="D2" s="351" t="s">
        <v>671</v>
      </c>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c r="CD2" s="347"/>
      <c r="CE2" s="347"/>
      <c r="CF2" s="347"/>
      <c r="CG2" s="347"/>
      <c r="CH2" s="347"/>
      <c r="CI2" s="347"/>
      <c r="CJ2" s="347"/>
      <c r="CK2" s="347"/>
      <c r="CL2" s="347"/>
      <c r="CM2" s="347"/>
      <c r="CN2" s="347"/>
      <c r="CO2" s="347"/>
      <c r="CP2" s="347"/>
      <c r="CQ2" s="347"/>
      <c r="CR2" s="347"/>
      <c r="CS2" s="347"/>
      <c r="CT2" s="347"/>
      <c r="CU2" s="347"/>
      <c r="CV2" s="347"/>
      <c r="CW2" s="347"/>
      <c r="CX2" s="347"/>
      <c r="CY2" s="347"/>
      <c r="CZ2" s="347"/>
      <c r="DA2" s="347"/>
      <c r="DB2" s="347"/>
      <c r="DC2" s="347"/>
      <c r="DD2" s="347"/>
      <c r="DE2" s="347"/>
      <c r="DF2" s="347"/>
      <c r="DG2" s="347"/>
      <c r="DH2" s="347"/>
      <c r="DI2" s="347"/>
      <c r="DJ2" s="347"/>
      <c r="DK2" s="347"/>
      <c r="DL2" s="347"/>
      <c r="DM2" s="347"/>
      <c r="DN2" s="347"/>
      <c r="DO2" s="347"/>
      <c r="DP2" s="347"/>
      <c r="DQ2" s="347"/>
      <c r="DR2" s="347"/>
      <c r="DS2" s="347"/>
      <c r="DT2" s="347"/>
      <c r="DU2" s="347"/>
      <c r="DV2" s="347"/>
      <c r="DW2" s="347"/>
      <c r="DX2" s="347"/>
      <c r="DY2" s="347"/>
      <c r="DZ2" s="347"/>
      <c r="EA2" s="347"/>
      <c r="EB2" s="347"/>
      <c r="EC2" s="347"/>
      <c r="ED2" s="347"/>
      <c r="EE2" s="347"/>
      <c r="EF2" s="347"/>
      <c r="EG2" s="347"/>
      <c r="EH2" s="347"/>
      <c r="EI2" s="347"/>
      <c r="EJ2" s="347"/>
      <c r="EK2" s="347"/>
      <c r="EL2" s="347"/>
      <c r="EM2" s="347"/>
      <c r="EN2" s="347"/>
      <c r="EO2" s="347"/>
      <c r="EP2" s="347"/>
      <c r="EQ2" s="347"/>
      <c r="ER2" s="347"/>
      <c r="ES2" s="347"/>
      <c r="ET2" s="347"/>
      <c r="EU2" s="347"/>
      <c r="EV2" s="347"/>
      <c r="EW2" s="347"/>
      <c r="EX2" s="347"/>
      <c r="EY2" s="347"/>
      <c r="EZ2" s="347"/>
      <c r="FA2" s="347"/>
      <c r="FB2" s="347"/>
      <c r="FC2" s="347"/>
      <c r="FD2" s="347"/>
      <c r="FE2" s="347"/>
      <c r="FF2" s="347"/>
      <c r="FG2" s="347"/>
      <c r="FH2" s="347"/>
      <c r="FI2" s="347"/>
      <c r="FJ2" s="347"/>
      <c r="FK2" s="347"/>
      <c r="FL2" s="347"/>
      <c r="FM2" s="347"/>
      <c r="FN2" s="347"/>
      <c r="FO2" s="347"/>
      <c r="FP2" s="347"/>
      <c r="FQ2" s="347"/>
      <c r="FR2" s="347"/>
      <c r="FS2" s="347"/>
      <c r="FT2" s="347"/>
      <c r="FU2" s="347"/>
      <c r="FV2" s="347"/>
      <c r="FW2" s="347"/>
      <c r="FX2" s="347"/>
      <c r="FY2" s="347"/>
      <c r="FZ2" s="347"/>
      <c r="GA2" s="347"/>
      <c r="GB2" s="347"/>
      <c r="GC2" s="347"/>
      <c r="GD2" s="347"/>
      <c r="GE2" s="347"/>
      <c r="GF2" s="347"/>
      <c r="GG2" s="347"/>
      <c r="GH2" s="347"/>
      <c r="GI2" s="347"/>
      <c r="GJ2" s="347"/>
      <c r="GK2" s="347"/>
      <c r="GL2" s="347"/>
      <c r="GM2" s="347"/>
      <c r="GN2" s="347"/>
      <c r="GO2" s="347"/>
      <c r="GP2" s="347"/>
      <c r="GQ2" s="347"/>
      <c r="GR2" s="347"/>
      <c r="GS2" s="347"/>
      <c r="GT2" s="347"/>
      <c r="GU2" s="347"/>
      <c r="GV2" s="347"/>
      <c r="GW2" s="347"/>
      <c r="GX2" s="347"/>
      <c r="GY2" s="347"/>
      <c r="GZ2" s="347"/>
      <c r="HA2" s="347"/>
      <c r="HB2" s="347"/>
      <c r="HC2" s="347"/>
      <c r="HD2" s="347"/>
      <c r="HE2" s="347"/>
      <c r="HF2" s="347"/>
      <c r="HG2" s="347"/>
      <c r="HH2" s="347"/>
      <c r="HI2" s="347"/>
      <c r="HJ2" s="347"/>
      <c r="HK2" s="347"/>
      <c r="HL2" s="347"/>
      <c r="HM2" s="347"/>
      <c r="HN2" s="347"/>
      <c r="HO2" s="347"/>
      <c r="HP2" s="347"/>
      <c r="HQ2" s="347"/>
      <c r="HR2" s="347"/>
      <c r="HS2" s="347"/>
      <c r="HT2" s="347"/>
      <c r="HU2" s="347"/>
      <c r="HV2" s="347"/>
      <c r="HW2" s="347"/>
      <c r="HX2" s="347"/>
      <c r="HY2" s="347"/>
      <c r="HZ2" s="347"/>
      <c r="IA2" s="347"/>
      <c r="IB2" s="347"/>
      <c r="IC2" s="347"/>
      <c r="ID2" s="347"/>
      <c r="IE2" s="347"/>
      <c r="IF2" s="347"/>
      <c r="IG2" s="347"/>
      <c r="IH2" s="347"/>
      <c r="II2" s="347"/>
      <c r="IJ2" s="347"/>
      <c r="IK2" s="347"/>
      <c r="IL2" s="347"/>
      <c r="IM2" s="347"/>
      <c r="IN2" s="347"/>
      <c r="IO2" s="347"/>
      <c r="IP2" s="347"/>
      <c r="IQ2" s="347"/>
      <c r="IR2" s="347"/>
      <c r="IS2" s="347"/>
      <c r="IT2" s="347"/>
      <c r="IU2" s="347"/>
      <c r="IV2" s="331"/>
    </row>
    <row r="3" s="94" customFormat="1" ht="16.5" spans="1:256">
      <c r="A3" s="131" t="s">
        <v>168</v>
      </c>
      <c r="B3" s="131" t="s">
        <v>1128</v>
      </c>
      <c r="C3" s="131" t="s">
        <v>1129</v>
      </c>
      <c r="D3" s="131" t="s">
        <v>1130</v>
      </c>
      <c r="E3" s="352"/>
      <c r="F3" s="352"/>
      <c r="G3" s="352"/>
      <c r="H3" s="352"/>
      <c r="I3" s="352"/>
      <c r="J3" s="352"/>
      <c r="K3" s="352"/>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2"/>
      <c r="EI3" s="352"/>
      <c r="EJ3" s="352"/>
      <c r="EK3" s="352"/>
      <c r="EL3" s="352"/>
      <c r="EM3" s="352"/>
      <c r="EN3" s="352"/>
      <c r="EO3" s="352"/>
      <c r="EP3" s="352"/>
      <c r="EQ3" s="352"/>
      <c r="ER3" s="352"/>
      <c r="ES3" s="352"/>
      <c r="ET3" s="352"/>
      <c r="EU3" s="352"/>
      <c r="EV3" s="352"/>
      <c r="EW3" s="352"/>
      <c r="EX3" s="352"/>
      <c r="EY3" s="352"/>
      <c r="EZ3" s="352"/>
      <c r="FA3" s="352"/>
      <c r="FB3" s="352"/>
      <c r="FC3" s="352"/>
      <c r="FD3" s="352"/>
      <c r="FE3" s="352"/>
      <c r="FF3" s="352"/>
      <c r="FG3" s="352"/>
      <c r="FH3" s="352"/>
      <c r="FI3" s="352"/>
      <c r="FJ3" s="352"/>
      <c r="FK3" s="352"/>
      <c r="FL3" s="352"/>
      <c r="FM3" s="352"/>
      <c r="FN3" s="352"/>
      <c r="FO3" s="352"/>
      <c r="FP3" s="352"/>
      <c r="FQ3" s="352"/>
      <c r="FR3" s="352"/>
      <c r="FS3" s="352"/>
      <c r="FT3" s="352"/>
      <c r="FU3" s="352"/>
      <c r="FV3" s="352"/>
      <c r="FW3" s="352"/>
      <c r="FX3" s="352"/>
      <c r="FY3" s="352"/>
      <c r="FZ3" s="352"/>
      <c r="GA3" s="352"/>
      <c r="GB3" s="352"/>
      <c r="GC3" s="352"/>
      <c r="GD3" s="352"/>
      <c r="GE3" s="352"/>
      <c r="GF3" s="352"/>
      <c r="GG3" s="352"/>
      <c r="GH3" s="352"/>
      <c r="GI3" s="352"/>
      <c r="GJ3" s="352"/>
      <c r="GK3" s="352"/>
      <c r="GL3" s="352"/>
      <c r="GM3" s="352"/>
      <c r="GN3" s="352"/>
      <c r="GO3" s="352"/>
      <c r="GP3" s="352"/>
      <c r="GQ3" s="352"/>
      <c r="GR3" s="352"/>
      <c r="GS3" s="352"/>
      <c r="GT3" s="352"/>
      <c r="GU3" s="352"/>
      <c r="GV3" s="352"/>
      <c r="GW3" s="352"/>
      <c r="GX3" s="352"/>
      <c r="GY3" s="352"/>
      <c r="GZ3" s="352"/>
      <c r="HA3" s="352"/>
      <c r="HB3" s="352"/>
      <c r="HC3" s="352"/>
      <c r="HD3" s="352"/>
      <c r="HE3" s="352"/>
      <c r="HF3" s="352"/>
      <c r="HG3" s="352"/>
      <c r="HH3" s="352"/>
      <c r="HI3" s="352"/>
      <c r="HJ3" s="352"/>
      <c r="HK3" s="352"/>
      <c r="HL3" s="352"/>
      <c r="HM3" s="352"/>
      <c r="HN3" s="352"/>
      <c r="HO3" s="352"/>
      <c r="HP3" s="352"/>
      <c r="HQ3" s="352"/>
      <c r="HR3" s="352"/>
      <c r="HS3" s="352"/>
      <c r="HT3" s="352"/>
      <c r="HU3" s="352"/>
      <c r="HV3" s="352"/>
      <c r="HW3" s="352"/>
      <c r="HX3" s="352"/>
      <c r="HY3" s="352"/>
      <c r="HZ3" s="352"/>
      <c r="IA3" s="352"/>
      <c r="IB3" s="352"/>
      <c r="IC3" s="352"/>
      <c r="ID3" s="352"/>
      <c r="IE3" s="352"/>
      <c r="IF3" s="352"/>
      <c r="IG3" s="352"/>
      <c r="IH3" s="352"/>
      <c r="II3" s="352"/>
      <c r="IJ3" s="352"/>
      <c r="IK3" s="352"/>
      <c r="IL3" s="352"/>
      <c r="IM3" s="352"/>
      <c r="IN3" s="352"/>
      <c r="IO3" s="352"/>
      <c r="IP3" s="352"/>
      <c r="IQ3" s="352"/>
      <c r="IR3" s="352"/>
      <c r="IS3" s="352"/>
      <c r="IT3" s="352"/>
      <c r="IU3" s="352"/>
      <c r="IV3" s="365"/>
    </row>
    <row r="4" s="97" customFormat="1" ht="16.5" spans="1:256">
      <c r="A4" s="353" t="s">
        <v>1131</v>
      </c>
      <c r="B4" s="142" t="s">
        <v>1132</v>
      </c>
      <c r="C4" s="353" t="s">
        <v>1133</v>
      </c>
      <c r="D4" s="123"/>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8"/>
      <c r="BB4" s="348"/>
      <c r="BC4" s="348"/>
      <c r="BD4" s="348"/>
      <c r="BE4" s="348"/>
      <c r="BF4" s="348"/>
      <c r="BG4" s="348"/>
      <c r="BH4" s="348"/>
      <c r="BI4" s="348"/>
      <c r="BJ4" s="348"/>
      <c r="BK4" s="348"/>
      <c r="BL4" s="348"/>
      <c r="BM4" s="348"/>
      <c r="BN4" s="348"/>
      <c r="BO4" s="348"/>
      <c r="BP4" s="348"/>
      <c r="BQ4" s="348"/>
      <c r="BR4" s="348"/>
      <c r="BS4" s="348"/>
      <c r="BT4" s="348"/>
      <c r="BU4" s="348"/>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8"/>
      <c r="DR4" s="348"/>
      <c r="DS4" s="348"/>
      <c r="DT4" s="348"/>
      <c r="DU4" s="348"/>
      <c r="DV4" s="348"/>
      <c r="DW4" s="348"/>
      <c r="DX4" s="348"/>
      <c r="DY4" s="348"/>
      <c r="DZ4" s="348"/>
      <c r="EA4" s="348"/>
      <c r="EB4" s="348"/>
      <c r="EC4" s="348"/>
      <c r="ED4" s="348"/>
      <c r="EE4" s="348"/>
      <c r="EF4" s="348"/>
      <c r="EG4" s="348"/>
      <c r="EH4" s="348"/>
      <c r="EI4" s="348"/>
      <c r="EJ4" s="348"/>
      <c r="EK4" s="348"/>
      <c r="EL4" s="348"/>
      <c r="EM4" s="348"/>
      <c r="EN4" s="348"/>
      <c r="EO4" s="348"/>
      <c r="EP4" s="348"/>
      <c r="EQ4" s="348"/>
      <c r="ER4" s="348"/>
      <c r="ES4" s="348"/>
      <c r="ET4" s="348"/>
      <c r="EU4" s="348"/>
      <c r="EV4" s="348"/>
      <c r="EW4" s="348"/>
      <c r="EX4" s="348"/>
      <c r="EY4" s="348"/>
      <c r="EZ4" s="348"/>
      <c r="FA4" s="348"/>
      <c r="FB4" s="348"/>
      <c r="FC4" s="348"/>
      <c r="FD4" s="348"/>
      <c r="FE4" s="348"/>
      <c r="FF4" s="348"/>
      <c r="FG4" s="348"/>
      <c r="FH4" s="348"/>
      <c r="FI4" s="348"/>
      <c r="FJ4" s="348"/>
      <c r="FK4" s="348"/>
      <c r="FL4" s="348"/>
      <c r="FM4" s="348"/>
      <c r="FN4" s="348"/>
      <c r="FO4" s="348"/>
      <c r="FP4" s="348"/>
      <c r="FQ4" s="348"/>
      <c r="FR4" s="348"/>
      <c r="FS4" s="348"/>
      <c r="FT4" s="348"/>
      <c r="FU4" s="348"/>
      <c r="FV4" s="348"/>
      <c r="FW4" s="348"/>
      <c r="FX4" s="348"/>
      <c r="FY4" s="348"/>
      <c r="FZ4" s="348"/>
      <c r="GA4" s="348"/>
      <c r="GB4" s="348"/>
      <c r="GC4" s="348"/>
      <c r="GD4" s="348"/>
      <c r="GE4" s="348"/>
      <c r="GF4" s="348"/>
      <c r="GG4" s="348"/>
      <c r="GH4" s="348"/>
      <c r="GI4" s="348"/>
      <c r="GJ4" s="348"/>
      <c r="GK4" s="348"/>
      <c r="GL4" s="348"/>
      <c r="GM4" s="348"/>
      <c r="GN4" s="348"/>
      <c r="GO4" s="348"/>
      <c r="GP4" s="348"/>
      <c r="GQ4" s="348"/>
      <c r="GR4" s="348"/>
      <c r="GS4" s="348"/>
      <c r="GT4" s="348"/>
      <c r="GU4" s="348"/>
      <c r="GV4" s="348"/>
      <c r="GW4" s="348"/>
      <c r="GX4" s="348"/>
      <c r="GY4" s="348"/>
      <c r="GZ4" s="348"/>
      <c r="HA4" s="348"/>
      <c r="HB4" s="348"/>
      <c r="HC4" s="348"/>
      <c r="HD4" s="348"/>
      <c r="HE4" s="348"/>
      <c r="HF4" s="348"/>
      <c r="HG4" s="348"/>
      <c r="HH4" s="348"/>
      <c r="HI4" s="348"/>
      <c r="HJ4" s="348"/>
      <c r="HK4" s="348"/>
      <c r="HL4" s="348"/>
      <c r="HM4" s="348"/>
      <c r="HN4" s="348"/>
      <c r="HO4" s="348"/>
      <c r="HP4" s="348"/>
      <c r="HQ4" s="348"/>
      <c r="HR4" s="348"/>
      <c r="HS4" s="348"/>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row>
    <row r="5" s="97" customFormat="1" ht="16.5" spans="1:256">
      <c r="A5" s="353" t="s">
        <v>1134</v>
      </c>
      <c r="B5" s="142" t="s">
        <v>1132</v>
      </c>
      <c r="C5" s="353" t="s">
        <v>1133</v>
      </c>
      <c r="D5" s="123"/>
      <c r="E5" s="348"/>
      <c r="F5" s="348"/>
      <c r="G5" s="348"/>
      <c r="H5" s="348"/>
      <c r="I5" s="348"/>
      <c r="J5" s="348"/>
      <c r="K5" s="348"/>
      <c r="L5" s="348"/>
      <c r="M5" s="348"/>
      <c r="N5" s="348"/>
      <c r="O5" s="348"/>
      <c r="P5" s="348"/>
      <c r="Q5" s="348"/>
      <c r="R5" s="348"/>
      <c r="S5" s="348"/>
      <c r="T5" s="348"/>
      <c r="U5" s="348"/>
      <c r="V5" s="348"/>
      <c r="W5" s="348"/>
      <c r="X5" s="348"/>
      <c r="Y5" s="348"/>
      <c r="Z5" s="348"/>
      <c r="AA5" s="348"/>
      <c r="AB5" s="348"/>
      <c r="AC5" s="348"/>
      <c r="AD5" s="348"/>
      <c r="AE5" s="348"/>
      <c r="AF5" s="348"/>
      <c r="AG5" s="348"/>
      <c r="AH5" s="348"/>
      <c r="AI5" s="348"/>
      <c r="AJ5" s="348"/>
      <c r="AK5" s="348"/>
      <c r="AL5" s="348"/>
      <c r="AM5" s="348"/>
      <c r="AN5" s="348"/>
      <c r="AO5" s="348"/>
      <c r="AP5" s="348"/>
      <c r="AQ5" s="348"/>
      <c r="AR5" s="348"/>
      <c r="AS5" s="348"/>
      <c r="AT5" s="348"/>
      <c r="AU5" s="348"/>
      <c r="AV5" s="348"/>
      <c r="AW5" s="348"/>
      <c r="AX5" s="348"/>
      <c r="AY5" s="348"/>
      <c r="AZ5" s="348"/>
      <c r="BA5" s="348"/>
      <c r="BB5" s="348"/>
      <c r="BC5" s="348"/>
      <c r="BD5" s="348"/>
      <c r="BE5" s="348"/>
      <c r="BF5" s="348"/>
      <c r="BG5" s="348"/>
      <c r="BH5" s="348"/>
      <c r="BI5" s="348"/>
      <c r="BJ5" s="348"/>
      <c r="BK5" s="348"/>
      <c r="BL5" s="348"/>
      <c r="BM5" s="348"/>
      <c r="BN5" s="348"/>
      <c r="BO5" s="348"/>
      <c r="BP5" s="348"/>
      <c r="BQ5" s="348"/>
      <c r="BR5" s="348"/>
      <c r="BS5" s="348"/>
      <c r="BT5" s="348"/>
      <c r="BU5" s="348"/>
      <c r="BV5" s="348"/>
      <c r="BW5" s="348"/>
      <c r="BX5" s="348"/>
      <c r="BY5" s="348"/>
      <c r="BZ5" s="348"/>
      <c r="CA5" s="348"/>
      <c r="CB5" s="348"/>
      <c r="CC5" s="348"/>
      <c r="CD5" s="348"/>
      <c r="CE5" s="348"/>
      <c r="CF5" s="348"/>
      <c r="CG5" s="348"/>
      <c r="CH5" s="348"/>
      <c r="CI5" s="348"/>
      <c r="CJ5" s="348"/>
      <c r="CK5" s="348"/>
      <c r="CL5" s="348"/>
      <c r="CM5" s="348"/>
      <c r="CN5" s="348"/>
      <c r="CO5" s="348"/>
      <c r="CP5" s="348"/>
      <c r="CQ5" s="348"/>
      <c r="CR5" s="348"/>
      <c r="CS5" s="348"/>
      <c r="CT5" s="348"/>
      <c r="CU5" s="348"/>
      <c r="CV5" s="348"/>
      <c r="CW5" s="348"/>
      <c r="CX5" s="348"/>
      <c r="CY5" s="348"/>
      <c r="CZ5" s="348"/>
      <c r="DA5" s="348"/>
      <c r="DB5" s="348"/>
      <c r="DC5" s="348"/>
      <c r="DD5" s="348"/>
      <c r="DE5" s="348"/>
      <c r="DF5" s="348"/>
      <c r="DG5" s="348"/>
      <c r="DH5" s="348"/>
      <c r="DI5" s="348"/>
      <c r="DJ5" s="348"/>
      <c r="DK5" s="348"/>
      <c r="DL5" s="348"/>
      <c r="DM5" s="348"/>
      <c r="DN5" s="348"/>
      <c r="DO5" s="348"/>
      <c r="DP5" s="348"/>
      <c r="DQ5" s="348"/>
      <c r="DR5" s="348"/>
      <c r="DS5" s="348"/>
      <c r="DT5" s="348"/>
      <c r="DU5" s="348"/>
      <c r="DV5" s="348"/>
      <c r="DW5" s="348"/>
      <c r="DX5" s="348"/>
      <c r="DY5" s="348"/>
      <c r="DZ5" s="348"/>
      <c r="EA5" s="348"/>
      <c r="EB5" s="348"/>
      <c r="EC5" s="348"/>
      <c r="ED5" s="348"/>
      <c r="EE5" s="348"/>
      <c r="EF5" s="348"/>
      <c r="EG5" s="348"/>
      <c r="EH5" s="348"/>
      <c r="EI5" s="348"/>
      <c r="EJ5" s="348"/>
      <c r="EK5" s="348"/>
      <c r="EL5" s="348"/>
      <c r="EM5" s="348"/>
      <c r="EN5" s="348"/>
      <c r="EO5" s="348"/>
      <c r="EP5" s="348"/>
      <c r="EQ5" s="348"/>
      <c r="ER5" s="348"/>
      <c r="ES5" s="348"/>
      <c r="ET5" s="348"/>
      <c r="EU5" s="348"/>
      <c r="EV5" s="348"/>
      <c r="EW5" s="348"/>
      <c r="EX5" s="348"/>
      <c r="EY5" s="348"/>
      <c r="EZ5" s="348"/>
      <c r="FA5" s="348"/>
      <c r="FB5" s="348"/>
      <c r="FC5" s="348"/>
      <c r="FD5" s="348"/>
      <c r="FE5" s="348"/>
      <c r="FF5" s="348"/>
      <c r="FG5" s="348"/>
      <c r="FH5" s="348"/>
      <c r="FI5" s="348"/>
      <c r="FJ5" s="348"/>
      <c r="FK5" s="348"/>
      <c r="FL5" s="348"/>
      <c r="FM5" s="348"/>
      <c r="FN5" s="348"/>
      <c r="FO5" s="348"/>
      <c r="FP5" s="348"/>
      <c r="FQ5" s="348"/>
      <c r="FR5" s="348"/>
      <c r="FS5" s="348"/>
      <c r="FT5" s="348"/>
      <c r="FU5" s="348"/>
      <c r="FV5" s="348"/>
      <c r="FW5" s="348"/>
      <c r="FX5" s="348"/>
      <c r="FY5" s="348"/>
      <c r="FZ5" s="348"/>
      <c r="GA5" s="348"/>
      <c r="GB5" s="348"/>
      <c r="GC5" s="348"/>
      <c r="GD5" s="348"/>
      <c r="GE5" s="348"/>
      <c r="GF5" s="348"/>
      <c r="GG5" s="348"/>
      <c r="GH5" s="348"/>
      <c r="GI5" s="348"/>
      <c r="GJ5" s="348"/>
      <c r="GK5" s="348"/>
      <c r="GL5" s="348"/>
      <c r="GM5" s="348"/>
      <c r="GN5" s="348"/>
      <c r="GO5" s="348"/>
      <c r="GP5" s="348"/>
      <c r="GQ5" s="348"/>
      <c r="GR5" s="348"/>
      <c r="GS5" s="348"/>
      <c r="GT5" s="348"/>
      <c r="GU5" s="348"/>
      <c r="GV5" s="348"/>
      <c r="GW5" s="348"/>
      <c r="GX5" s="348"/>
      <c r="GY5" s="348"/>
      <c r="GZ5" s="348"/>
      <c r="HA5" s="348"/>
      <c r="HB5" s="348"/>
      <c r="HC5" s="348"/>
      <c r="HD5" s="348"/>
      <c r="HE5" s="348"/>
      <c r="HF5" s="348"/>
      <c r="HG5" s="348"/>
      <c r="HH5" s="348"/>
      <c r="HI5" s="348"/>
      <c r="HJ5" s="348"/>
      <c r="HK5" s="348"/>
      <c r="HL5" s="348"/>
      <c r="HM5" s="348"/>
      <c r="HN5" s="348"/>
      <c r="HO5" s="348"/>
      <c r="HP5" s="348"/>
      <c r="HQ5" s="348"/>
      <c r="HR5" s="348"/>
      <c r="HS5" s="348"/>
      <c r="HT5" s="348"/>
      <c r="HU5" s="348"/>
      <c r="HV5" s="348"/>
      <c r="HW5" s="348"/>
      <c r="HX5" s="348"/>
      <c r="HY5" s="348"/>
      <c r="HZ5" s="348"/>
      <c r="IA5" s="348"/>
      <c r="IB5" s="348"/>
      <c r="IC5" s="348"/>
      <c r="ID5" s="348"/>
      <c r="IE5" s="348"/>
      <c r="IF5" s="348"/>
      <c r="IG5" s="348"/>
      <c r="IH5" s="348"/>
      <c r="II5" s="348"/>
      <c r="IJ5" s="348"/>
      <c r="IK5" s="348"/>
      <c r="IL5" s="348"/>
      <c r="IM5" s="348"/>
      <c r="IN5" s="348"/>
      <c r="IO5" s="348"/>
      <c r="IP5" s="348"/>
      <c r="IQ5" s="348"/>
      <c r="IR5" s="348"/>
      <c r="IS5" s="348"/>
      <c r="IT5" s="348"/>
      <c r="IU5" s="348"/>
      <c r="IV5" s="348"/>
    </row>
    <row r="6" s="97" customFormat="1" ht="16.5" spans="1:256">
      <c r="A6" s="353" t="s">
        <v>1135</v>
      </c>
      <c r="B6" s="142" t="s">
        <v>1132</v>
      </c>
      <c r="C6" s="353" t="s">
        <v>1136</v>
      </c>
      <c r="D6" s="354">
        <f>D4-D5</f>
        <v>0</v>
      </c>
      <c r="E6" s="348"/>
      <c r="F6" s="348"/>
      <c r="G6" s="348"/>
      <c r="H6" s="348"/>
      <c r="I6" s="348"/>
      <c r="J6" s="348"/>
      <c r="K6" s="348"/>
      <c r="L6" s="348"/>
      <c r="M6" s="348"/>
      <c r="N6" s="348"/>
      <c r="O6" s="348"/>
      <c r="P6" s="348"/>
      <c r="Q6" s="348"/>
      <c r="R6" s="348"/>
      <c r="S6" s="348"/>
      <c r="T6" s="348"/>
      <c r="U6" s="348"/>
      <c r="V6" s="348"/>
      <c r="W6" s="348"/>
      <c r="X6" s="348"/>
      <c r="Y6" s="348"/>
      <c r="Z6" s="348"/>
      <c r="AA6" s="348"/>
      <c r="AB6" s="348"/>
      <c r="AC6" s="348"/>
      <c r="AD6" s="348"/>
      <c r="AE6" s="348"/>
      <c r="AF6" s="348"/>
      <c r="AG6" s="348"/>
      <c r="AH6" s="348"/>
      <c r="AI6" s="348"/>
      <c r="AJ6" s="348"/>
      <c r="AK6" s="348"/>
      <c r="AL6" s="348"/>
      <c r="AM6" s="348"/>
      <c r="AN6" s="348"/>
      <c r="AO6" s="348"/>
      <c r="AP6" s="348"/>
      <c r="AQ6" s="348"/>
      <c r="AR6" s="348"/>
      <c r="AS6" s="348"/>
      <c r="AT6" s="348"/>
      <c r="AU6" s="348"/>
      <c r="AV6" s="348"/>
      <c r="AW6" s="348"/>
      <c r="AX6" s="348"/>
      <c r="AY6" s="348"/>
      <c r="AZ6" s="348"/>
      <c r="BA6" s="348"/>
      <c r="BB6" s="348"/>
      <c r="BC6" s="348"/>
      <c r="BD6" s="348"/>
      <c r="BE6" s="348"/>
      <c r="BF6" s="348"/>
      <c r="BG6" s="348"/>
      <c r="BH6" s="348"/>
      <c r="BI6" s="348"/>
      <c r="BJ6" s="348"/>
      <c r="BK6" s="348"/>
      <c r="BL6" s="348"/>
      <c r="BM6" s="348"/>
      <c r="BN6" s="348"/>
      <c r="BO6" s="348"/>
      <c r="BP6" s="348"/>
      <c r="BQ6" s="348"/>
      <c r="BR6" s="348"/>
      <c r="BS6" s="348"/>
      <c r="BT6" s="348"/>
      <c r="BU6" s="348"/>
      <c r="BV6" s="348"/>
      <c r="BW6" s="348"/>
      <c r="BX6" s="348"/>
      <c r="BY6" s="348"/>
      <c r="BZ6" s="348"/>
      <c r="CA6" s="348"/>
      <c r="CB6" s="348"/>
      <c r="CC6" s="348"/>
      <c r="CD6" s="348"/>
      <c r="CE6" s="348"/>
      <c r="CF6" s="348"/>
      <c r="CG6" s="348"/>
      <c r="CH6" s="348"/>
      <c r="CI6" s="348"/>
      <c r="CJ6" s="348"/>
      <c r="CK6" s="348"/>
      <c r="CL6" s="348"/>
      <c r="CM6" s="348"/>
      <c r="CN6" s="348"/>
      <c r="CO6" s="348"/>
      <c r="CP6" s="348"/>
      <c r="CQ6" s="348"/>
      <c r="CR6" s="348"/>
      <c r="CS6" s="348"/>
      <c r="CT6" s="348"/>
      <c r="CU6" s="348"/>
      <c r="CV6" s="348"/>
      <c r="CW6" s="348"/>
      <c r="CX6" s="348"/>
      <c r="CY6" s="348"/>
      <c r="CZ6" s="348"/>
      <c r="DA6" s="348"/>
      <c r="DB6" s="348"/>
      <c r="DC6" s="348"/>
      <c r="DD6" s="348"/>
      <c r="DE6" s="348"/>
      <c r="DF6" s="348"/>
      <c r="DG6" s="348"/>
      <c r="DH6" s="348"/>
      <c r="DI6" s="348"/>
      <c r="DJ6" s="348"/>
      <c r="DK6" s="348"/>
      <c r="DL6" s="348"/>
      <c r="DM6" s="348"/>
      <c r="DN6" s="348"/>
      <c r="DO6" s="348"/>
      <c r="DP6" s="348"/>
      <c r="DQ6" s="348"/>
      <c r="DR6" s="348"/>
      <c r="DS6" s="348"/>
      <c r="DT6" s="348"/>
      <c r="DU6" s="348"/>
      <c r="DV6" s="348"/>
      <c r="DW6" s="348"/>
      <c r="DX6" s="348"/>
      <c r="DY6" s="348"/>
      <c r="DZ6" s="348"/>
      <c r="EA6" s="348"/>
      <c r="EB6" s="348"/>
      <c r="EC6" s="348"/>
      <c r="ED6" s="348"/>
      <c r="EE6" s="348"/>
      <c r="EF6" s="348"/>
      <c r="EG6" s="348"/>
      <c r="EH6" s="348"/>
      <c r="EI6" s="348"/>
      <c r="EJ6" s="348"/>
      <c r="EK6" s="348"/>
      <c r="EL6" s="348"/>
      <c r="EM6" s="348"/>
      <c r="EN6" s="348"/>
      <c r="EO6" s="348"/>
      <c r="EP6" s="348"/>
      <c r="EQ6" s="348"/>
      <c r="ER6" s="348"/>
      <c r="ES6" s="348"/>
      <c r="ET6" s="348"/>
      <c r="EU6" s="348"/>
      <c r="EV6" s="348"/>
      <c r="EW6" s="348"/>
      <c r="EX6" s="348"/>
      <c r="EY6" s="348"/>
      <c r="EZ6" s="348"/>
      <c r="FA6" s="348"/>
      <c r="FB6" s="348"/>
      <c r="FC6" s="348"/>
      <c r="FD6" s="348"/>
      <c r="FE6" s="348"/>
      <c r="FF6" s="348"/>
      <c r="FG6" s="348"/>
      <c r="FH6" s="348"/>
      <c r="FI6" s="348"/>
      <c r="FJ6" s="348"/>
      <c r="FK6" s="348"/>
      <c r="FL6" s="348"/>
      <c r="FM6" s="348"/>
      <c r="FN6" s="348"/>
      <c r="FO6" s="348"/>
      <c r="FP6" s="348"/>
      <c r="FQ6" s="348"/>
      <c r="FR6" s="348"/>
      <c r="FS6" s="348"/>
      <c r="FT6" s="348"/>
      <c r="FU6" s="348"/>
      <c r="FV6" s="348"/>
      <c r="FW6" s="348"/>
      <c r="FX6" s="348"/>
      <c r="FY6" s="348"/>
      <c r="FZ6" s="348"/>
      <c r="GA6" s="348"/>
      <c r="GB6" s="348"/>
      <c r="GC6" s="348"/>
      <c r="GD6" s="348"/>
      <c r="GE6" s="348"/>
      <c r="GF6" s="348"/>
      <c r="GG6" s="348"/>
      <c r="GH6" s="348"/>
      <c r="GI6" s="348"/>
      <c r="GJ6" s="348"/>
      <c r="GK6" s="348"/>
      <c r="GL6" s="348"/>
      <c r="GM6" s="348"/>
      <c r="GN6" s="348"/>
      <c r="GO6" s="348"/>
      <c r="GP6" s="348"/>
      <c r="GQ6" s="348"/>
      <c r="GR6" s="348"/>
      <c r="GS6" s="348"/>
      <c r="GT6" s="348"/>
      <c r="GU6" s="348"/>
      <c r="GV6" s="348"/>
      <c r="GW6" s="348"/>
      <c r="GX6" s="348"/>
      <c r="GY6" s="348"/>
      <c r="GZ6" s="348"/>
      <c r="HA6" s="348"/>
      <c r="HB6" s="348"/>
      <c r="HC6" s="348"/>
      <c r="HD6" s="348"/>
      <c r="HE6" s="348"/>
      <c r="HF6" s="348"/>
      <c r="HG6" s="348"/>
      <c r="HH6" s="348"/>
      <c r="HI6" s="348"/>
      <c r="HJ6" s="348"/>
      <c r="HK6" s="348"/>
      <c r="HL6" s="348"/>
      <c r="HM6" s="348"/>
      <c r="HN6" s="348"/>
      <c r="HO6" s="348"/>
      <c r="HP6" s="348"/>
      <c r="HQ6" s="348"/>
      <c r="HR6" s="348"/>
      <c r="HS6" s="348"/>
      <c r="HT6" s="348"/>
      <c r="HU6" s="348"/>
      <c r="HV6" s="348"/>
      <c r="HW6" s="348"/>
      <c r="HX6" s="348"/>
      <c r="HY6" s="348"/>
      <c r="HZ6" s="348"/>
      <c r="IA6" s="348"/>
      <c r="IB6" s="348"/>
      <c r="IC6" s="348"/>
      <c r="ID6" s="348"/>
      <c r="IE6" s="348"/>
      <c r="IF6" s="348"/>
      <c r="IG6" s="348"/>
      <c r="IH6" s="348"/>
      <c r="II6" s="348"/>
      <c r="IJ6" s="348"/>
      <c r="IK6" s="348"/>
      <c r="IL6" s="348"/>
      <c r="IM6" s="348"/>
      <c r="IN6" s="348"/>
      <c r="IO6" s="348"/>
      <c r="IP6" s="348"/>
      <c r="IQ6" s="348"/>
      <c r="IR6" s="348"/>
      <c r="IS6" s="348"/>
      <c r="IT6" s="348"/>
      <c r="IU6" s="348"/>
      <c r="IV6" s="348"/>
    </row>
    <row r="7" s="93" customFormat="1" spans="1:256">
      <c r="A7" s="355" t="s">
        <v>1137</v>
      </c>
      <c r="B7" s="142" t="s">
        <v>1138</v>
      </c>
      <c r="C7" s="353" t="s">
        <v>1139</v>
      </c>
      <c r="D7" s="137"/>
      <c r="E7" s="347"/>
      <c r="F7" s="347"/>
      <c r="G7" s="347"/>
      <c r="H7" s="347"/>
      <c r="I7" s="347"/>
      <c r="J7" s="347"/>
      <c r="K7" s="347"/>
      <c r="L7" s="347"/>
      <c r="M7" s="347"/>
      <c r="N7" s="347"/>
      <c r="O7" s="347"/>
      <c r="P7" s="347"/>
      <c r="Q7" s="347"/>
      <c r="R7" s="347"/>
      <c r="S7" s="347"/>
      <c r="T7" s="347"/>
      <c r="U7" s="347"/>
      <c r="V7" s="347"/>
      <c r="W7" s="347"/>
      <c r="X7" s="347"/>
      <c r="Y7" s="347"/>
      <c r="Z7" s="347"/>
      <c r="AA7" s="347"/>
      <c r="AB7" s="347"/>
      <c r="AC7" s="347"/>
      <c r="AD7" s="347"/>
      <c r="AE7" s="347"/>
      <c r="AF7" s="347"/>
      <c r="AG7" s="347"/>
      <c r="AH7" s="347"/>
      <c r="AI7" s="347"/>
      <c r="AJ7" s="347"/>
      <c r="AK7" s="347"/>
      <c r="AL7" s="347"/>
      <c r="AM7" s="347"/>
      <c r="AN7" s="347"/>
      <c r="AO7" s="347"/>
      <c r="AP7" s="347"/>
      <c r="AQ7" s="347"/>
      <c r="AR7" s="347"/>
      <c r="AS7" s="347"/>
      <c r="AT7" s="347"/>
      <c r="AU7" s="347"/>
      <c r="AV7" s="347"/>
      <c r="AW7" s="347"/>
      <c r="AX7" s="347"/>
      <c r="AY7" s="347"/>
      <c r="AZ7" s="347"/>
      <c r="BA7" s="347"/>
      <c r="BB7" s="347"/>
      <c r="BC7" s="347"/>
      <c r="BD7" s="347"/>
      <c r="BE7" s="347"/>
      <c r="BF7" s="347"/>
      <c r="BG7" s="347"/>
      <c r="BH7" s="347"/>
      <c r="BI7" s="347"/>
      <c r="BJ7" s="347"/>
      <c r="BK7" s="347"/>
      <c r="BL7" s="347"/>
      <c r="BM7" s="347"/>
      <c r="BN7" s="347"/>
      <c r="BO7" s="347"/>
      <c r="BP7" s="347"/>
      <c r="BQ7" s="347"/>
      <c r="BR7" s="347"/>
      <c r="BS7" s="347"/>
      <c r="BT7" s="347"/>
      <c r="BU7" s="347"/>
      <c r="BV7" s="347"/>
      <c r="BW7" s="347"/>
      <c r="BX7" s="347"/>
      <c r="BY7" s="347"/>
      <c r="BZ7" s="347"/>
      <c r="CA7" s="347"/>
      <c r="CB7" s="347"/>
      <c r="CC7" s="347"/>
      <c r="CD7" s="347"/>
      <c r="CE7" s="347"/>
      <c r="CF7" s="347"/>
      <c r="CG7" s="347"/>
      <c r="CH7" s="347"/>
      <c r="CI7" s="347"/>
      <c r="CJ7" s="347"/>
      <c r="CK7" s="347"/>
      <c r="CL7" s="347"/>
      <c r="CM7" s="347"/>
      <c r="CN7" s="347"/>
      <c r="CO7" s="347"/>
      <c r="CP7" s="347"/>
      <c r="CQ7" s="347"/>
      <c r="CR7" s="347"/>
      <c r="CS7" s="347"/>
      <c r="CT7" s="347"/>
      <c r="CU7" s="347"/>
      <c r="CV7" s="347"/>
      <c r="CW7" s="347"/>
      <c r="CX7" s="347"/>
      <c r="CY7" s="347"/>
      <c r="CZ7" s="347"/>
      <c r="DA7" s="347"/>
      <c r="DB7" s="347"/>
      <c r="DC7" s="347"/>
      <c r="DD7" s="347"/>
      <c r="DE7" s="347"/>
      <c r="DF7" s="347"/>
      <c r="DG7" s="347"/>
      <c r="DH7" s="347"/>
      <c r="DI7" s="347"/>
      <c r="DJ7" s="347"/>
      <c r="DK7" s="347"/>
      <c r="DL7" s="347"/>
      <c r="DM7" s="347"/>
      <c r="DN7" s="347"/>
      <c r="DO7" s="347"/>
      <c r="DP7" s="347"/>
      <c r="DQ7" s="347"/>
      <c r="DR7" s="347"/>
      <c r="DS7" s="347"/>
      <c r="DT7" s="347"/>
      <c r="DU7" s="347"/>
      <c r="DV7" s="347"/>
      <c r="DW7" s="347"/>
      <c r="DX7" s="347"/>
      <c r="DY7" s="347"/>
      <c r="DZ7" s="347"/>
      <c r="EA7" s="347"/>
      <c r="EB7" s="347"/>
      <c r="EC7" s="347"/>
      <c r="ED7" s="347"/>
      <c r="EE7" s="347"/>
      <c r="EF7" s="347"/>
      <c r="EG7" s="347"/>
      <c r="EH7" s="347"/>
      <c r="EI7" s="347"/>
      <c r="EJ7" s="347"/>
      <c r="EK7" s="347"/>
      <c r="EL7" s="347"/>
      <c r="EM7" s="347"/>
      <c r="EN7" s="347"/>
      <c r="EO7" s="347"/>
      <c r="EP7" s="347"/>
      <c r="EQ7" s="347"/>
      <c r="ER7" s="347"/>
      <c r="ES7" s="347"/>
      <c r="ET7" s="347"/>
      <c r="EU7" s="347"/>
      <c r="EV7" s="347"/>
      <c r="EW7" s="347"/>
      <c r="EX7" s="347"/>
      <c r="EY7" s="347"/>
      <c r="EZ7" s="347"/>
      <c r="FA7" s="347"/>
      <c r="FB7" s="347"/>
      <c r="FC7" s="347"/>
      <c r="FD7" s="347"/>
      <c r="FE7" s="347"/>
      <c r="FF7" s="347"/>
      <c r="FG7" s="347"/>
      <c r="FH7" s="347"/>
      <c r="FI7" s="347"/>
      <c r="FJ7" s="347"/>
      <c r="FK7" s="347"/>
      <c r="FL7" s="347"/>
      <c r="FM7" s="347"/>
      <c r="FN7" s="347"/>
      <c r="FO7" s="347"/>
      <c r="FP7" s="347"/>
      <c r="FQ7" s="347"/>
      <c r="FR7" s="347"/>
      <c r="FS7" s="347"/>
      <c r="FT7" s="347"/>
      <c r="FU7" s="347"/>
      <c r="FV7" s="347"/>
      <c r="FW7" s="347"/>
      <c r="FX7" s="347"/>
      <c r="FY7" s="347"/>
      <c r="FZ7" s="347"/>
      <c r="GA7" s="347"/>
      <c r="GB7" s="347"/>
      <c r="GC7" s="347"/>
      <c r="GD7" s="347"/>
      <c r="GE7" s="347"/>
      <c r="GF7" s="347"/>
      <c r="GG7" s="347"/>
      <c r="GH7" s="347"/>
      <c r="GI7" s="347"/>
      <c r="GJ7" s="347"/>
      <c r="GK7" s="347"/>
      <c r="GL7" s="347"/>
      <c r="GM7" s="347"/>
      <c r="GN7" s="347"/>
      <c r="GO7" s="347"/>
      <c r="GP7" s="347"/>
      <c r="GQ7" s="347"/>
      <c r="GR7" s="347"/>
      <c r="GS7" s="347"/>
      <c r="GT7" s="347"/>
      <c r="GU7" s="347"/>
      <c r="GV7" s="347"/>
      <c r="GW7" s="347"/>
      <c r="GX7" s="347"/>
      <c r="GY7" s="347"/>
      <c r="GZ7" s="347"/>
      <c r="HA7" s="347"/>
      <c r="HB7" s="347"/>
      <c r="HC7" s="347"/>
      <c r="HD7" s="347"/>
      <c r="HE7" s="347"/>
      <c r="HF7" s="347"/>
      <c r="HG7" s="347"/>
      <c r="HH7" s="347"/>
      <c r="HI7" s="347"/>
      <c r="HJ7" s="347"/>
      <c r="HK7" s="347"/>
      <c r="HL7" s="347"/>
      <c r="HM7" s="347"/>
      <c r="HN7" s="347"/>
      <c r="HO7" s="347"/>
      <c r="HP7" s="347"/>
      <c r="HQ7" s="347"/>
      <c r="HR7" s="347"/>
      <c r="HS7" s="347"/>
      <c r="HT7" s="347"/>
      <c r="HU7" s="347"/>
      <c r="HV7" s="347"/>
      <c r="HW7" s="347"/>
      <c r="HX7" s="347"/>
      <c r="HY7" s="347"/>
      <c r="HZ7" s="347"/>
      <c r="IA7" s="347"/>
      <c r="IB7" s="347"/>
      <c r="IC7" s="347"/>
      <c r="ID7" s="347"/>
      <c r="IE7" s="347"/>
      <c r="IF7" s="347"/>
      <c r="IG7" s="347"/>
      <c r="IH7" s="347"/>
      <c r="II7" s="347"/>
      <c r="IJ7" s="347"/>
      <c r="IK7" s="347"/>
      <c r="IL7" s="347"/>
      <c r="IM7" s="347"/>
      <c r="IN7" s="347"/>
      <c r="IO7" s="347"/>
      <c r="IP7" s="347"/>
      <c r="IQ7" s="347"/>
      <c r="IR7" s="347"/>
      <c r="IS7" s="347"/>
      <c r="IT7" s="347"/>
      <c r="IU7" s="347"/>
      <c r="IV7" s="331"/>
    </row>
    <row r="8" s="93" customFormat="1" spans="1:256">
      <c r="A8" s="355" t="s">
        <v>1140</v>
      </c>
      <c r="B8" s="142" t="s">
        <v>1141</v>
      </c>
      <c r="C8" s="353" t="s">
        <v>1142</v>
      </c>
      <c r="D8" s="356" t="e">
        <f>D7/D6</f>
        <v>#DIV/0!</v>
      </c>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347"/>
      <c r="BA8" s="347"/>
      <c r="BB8" s="347"/>
      <c r="BC8" s="347"/>
      <c r="BD8" s="347"/>
      <c r="BE8" s="347"/>
      <c r="BF8" s="347"/>
      <c r="BG8" s="347"/>
      <c r="BH8" s="347"/>
      <c r="BI8" s="347"/>
      <c r="BJ8" s="347"/>
      <c r="BK8" s="347"/>
      <c r="BL8" s="347"/>
      <c r="BM8" s="347"/>
      <c r="BN8" s="347"/>
      <c r="BO8" s="347"/>
      <c r="BP8" s="347"/>
      <c r="BQ8" s="347"/>
      <c r="BR8" s="347"/>
      <c r="BS8" s="347"/>
      <c r="BT8" s="347"/>
      <c r="BU8" s="347"/>
      <c r="BV8" s="347"/>
      <c r="BW8" s="347"/>
      <c r="BX8" s="347"/>
      <c r="BY8" s="347"/>
      <c r="BZ8" s="347"/>
      <c r="CA8" s="347"/>
      <c r="CB8" s="347"/>
      <c r="CC8" s="347"/>
      <c r="CD8" s="347"/>
      <c r="CE8" s="347"/>
      <c r="CF8" s="347"/>
      <c r="CG8" s="347"/>
      <c r="CH8" s="347"/>
      <c r="CI8" s="347"/>
      <c r="CJ8" s="347"/>
      <c r="CK8" s="347"/>
      <c r="CL8" s="347"/>
      <c r="CM8" s="347"/>
      <c r="CN8" s="347"/>
      <c r="CO8" s="347"/>
      <c r="CP8" s="347"/>
      <c r="CQ8" s="347"/>
      <c r="CR8" s="347"/>
      <c r="CS8" s="347"/>
      <c r="CT8" s="347"/>
      <c r="CU8" s="347"/>
      <c r="CV8" s="347"/>
      <c r="CW8" s="347"/>
      <c r="CX8" s="347"/>
      <c r="CY8" s="347"/>
      <c r="CZ8" s="347"/>
      <c r="DA8" s="347"/>
      <c r="DB8" s="347"/>
      <c r="DC8" s="347"/>
      <c r="DD8" s="347"/>
      <c r="DE8" s="347"/>
      <c r="DF8" s="347"/>
      <c r="DG8" s="347"/>
      <c r="DH8" s="347"/>
      <c r="DI8" s="347"/>
      <c r="DJ8" s="347"/>
      <c r="DK8" s="347"/>
      <c r="DL8" s="347"/>
      <c r="DM8" s="347"/>
      <c r="DN8" s="347"/>
      <c r="DO8" s="347"/>
      <c r="DP8" s="347"/>
      <c r="DQ8" s="347"/>
      <c r="DR8" s="347"/>
      <c r="DS8" s="347"/>
      <c r="DT8" s="347"/>
      <c r="DU8" s="347"/>
      <c r="DV8" s="347"/>
      <c r="DW8" s="347"/>
      <c r="DX8" s="347"/>
      <c r="DY8" s="347"/>
      <c r="DZ8" s="347"/>
      <c r="EA8" s="347"/>
      <c r="EB8" s="347"/>
      <c r="EC8" s="347"/>
      <c r="ED8" s="347"/>
      <c r="EE8" s="347"/>
      <c r="EF8" s="347"/>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c r="FH8" s="347"/>
      <c r="FI8" s="347"/>
      <c r="FJ8" s="347"/>
      <c r="FK8" s="347"/>
      <c r="FL8" s="347"/>
      <c r="FM8" s="347"/>
      <c r="FN8" s="347"/>
      <c r="FO8" s="347"/>
      <c r="FP8" s="347"/>
      <c r="FQ8" s="347"/>
      <c r="FR8" s="347"/>
      <c r="FS8" s="347"/>
      <c r="FT8" s="347"/>
      <c r="FU8" s="347"/>
      <c r="FV8" s="347"/>
      <c r="FW8" s="347"/>
      <c r="FX8" s="347"/>
      <c r="FY8" s="347"/>
      <c r="FZ8" s="347"/>
      <c r="GA8" s="347"/>
      <c r="GB8" s="347"/>
      <c r="GC8" s="347"/>
      <c r="GD8" s="347"/>
      <c r="GE8" s="347"/>
      <c r="GF8" s="347"/>
      <c r="GG8" s="347"/>
      <c r="GH8" s="347"/>
      <c r="GI8" s="347"/>
      <c r="GJ8" s="347"/>
      <c r="GK8" s="347"/>
      <c r="GL8" s="347"/>
      <c r="GM8" s="347"/>
      <c r="GN8" s="347"/>
      <c r="GO8" s="347"/>
      <c r="GP8" s="347"/>
      <c r="GQ8" s="347"/>
      <c r="GR8" s="347"/>
      <c r="GS8" s="347"/>
      <c r="GT8" s="347"/>
      <c r="GU8" s="347"/>
      <c r="GV8" s="347"/>
      <c r="GW8" s="347"/>
      <c r="GX8" s="347"/>
      <c r="GY8" s="347"/>
      <c r="GZ8" s="347"/>
      <c r="HA8" s="347"/>
      <c r="HB8" s="347"/>
      <c r="HC8" s="347"/>
      <c r="HD8" s="347"/>
      <c r="HE8" s="347"/>
      <c r="HF8" s="347"/>
      <c r="HG8" s="347"/>
      <c r="HH8" s="347"/>
      <c r="HI8" s="347"/>
      <c r="HJ8" s="347"/>
      <c r="HK8" s="347"/>
      <c r="HL8" s="347"/>
      <c r="HM8" s="347"/>
      <c r="HN8" s="347"/>
      <c r="HO8" s="347"/>
      <c r="HP8" s="347"/>
      <c r="HQ8" s="347"/>
      <c r="HR8" s="347"/>
      <c r="HS8" s="347"/>
      <c r="HT8" s="347"/>
      <c r="HU8" s="347"/>
      <c r="HV8" s="347"/>
      <c r="HW8" s="347"/>
      <c r="HX8" s="347"/>
      <c r="HY8" s="347"/>
      <c r="HZ8" s="347"/>
      <c r="IA8" s="347"/>
      <c r="IB8" s="347"/>
      <c r="IC8" s="347"/>
      <c r="ID8" s="347"/>
      <c r="IE8" s="347"/>
      <c r="IF8" s="347"/>
      <c r="IG8" s="347"/>
      <c r="IH8" s="347"/>
      <c r="II8" s="347"/>
      <c r="IJ8" s="347"/>
      <c r="IK8" s="347"/>
      <c r="IL8" s="347"/>
      <c r="IM8" s="347"/>
      <c r="IN8" s="347"/>
      <c r="IO8" s="347"/>
      <c r="IP8" s="347"/>
      <c r="IQ8" s="347"/>
      <c r="IR8" s="347"/>
      <c r="IS8" s="347"/>
      <c r="IT8" s="347"/>
      <c r="IU8" s="347"/>
      <c r="IV8" s="331"/>
    </row>
    <row r="9" s="93" customFormat="1" spans="1:256">
      <c r="A9" s="355" t="s">
        <v>1143</v>
      </c>
      <c r="B9" s="142" t="s">
        <v>1138</v>
      </c>
      <c r="C9" s="353" t="s">
        <v>1144</v>
      </c>
      <c r="D9" s="356" t="e">
        <f>D4*D8</f>
        <v>#DIV/0!</v>
      </c>
      <c r="E9" s="34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47"/>
      <c r="AL9" s="347"/>
      <c r="AM9" s="347"/>
      <c r="AN9" s="347"/>
      <c r="AO9" s="347"/>
      <c r="AP9" s="347"/>
      <c r="AQ9" s="347"/>
      <c r="AR9" s="347"/>
      <c r="AS9" s="347"/>
      <c r="AT9" s="347"/>
      <c r="AU9" s="347"/>
      <c r="AV9" s="347"/>
      <c r="AW9" s="347"/>
      <c r="AX9" s="347"/>
      <c r="AY9" s="347"/>
      <c r="AZ9" s="347"/>
      <c r="BA9" s="347"/>
      <c r="BB9" s="347"/>
      <c r="BC9" s="347"/>
      <c r="BD9" s="347"/>
      <c r="BE9" s="347"/>
      <c r="BF9" s="347"/>
      <c r="BG9" s="347"/>
      <c r="BH9" s="347"/>
      <c r="BI9" s="347"/>
      <c r="BJ9" s="347"/>
      <c r="BK9" s="347"/>
      <c r="BL9" s="347"/>
      <c r="BM9" s="347"/>
      <c r="BN9" s="347"/>
      <c r="BO9" s="347"/>
      <c r="BP9" s="347"/>
      <c r="BQ9" s="347"/>
      <c r="BR9" s="347"/>
      <c r="BS9" s="347"/>
      <c r="BT9" s="347"/>
      <c r="BU9" s="347"/>
      <c r="BV9" s="347"/>
      <c r="BW9" s="347"/>
      <c r="BX9" s="347"/>
      <c r="BY9" s="347"/>
      <c r="BZ9" s="347"/>
      <c r="CA9" s="347"/>
      <c r="CB9" s="347"/>
      <c r="CC9" s="347"/>
      <c r="CD9" s="347"/>
      <c r="CE9" s="347"/>
      <c r="CF9" s="347"/>
      <c r="CG9" s="347"/>
      <c r="CH9" s="347"/>
      <c r="CI9" s="347"/>
      <c r="CJ9" s="347"/>
      <c r="CK9" s="347"/>
      <c r="CL9" s="347"/>
      <c r="CM9" s="347"/>
      <c r="CN9" s="347"/>
      <c r="CO9" s="347"/>
      <c r="CP9" s="347"/>
      <c r="CQ9" s="347"/>
      <c r="CR9" s="347"/>
      <c r="CS9" s="347"/>
      <c r="CT9" s="347"/>
      <c r="CU9" s="347"/>
      <c r="CV9" s="347"/>
      <c r="CW9" s="347"/>
      <c r="CX9" s="347"/>
      <c r="CY9" s="347"/>
      <c r="CZ9" s="347"/>
      <c r="DA9" s="347"/>
      <c r="DB9" s="347"/>
      <c r="DC9" s="347"/>
      <c r="DD9" s="347"/>
      <c r="DE9" s="347"/>
      <c r="DF9" s="347"/>
      <c r="DG9" s="347"/>
      <c r="DH9" s="347"/>
      <c r="DI9" s="347"/>
      <c r="DJ9" s="347"/>
      <c r="DK9" s="347"/>
      <c r="DL9" s="347"/>
      <c r="DM9" s="347"/>
      <c r="DN9" s="347"/>
      <c r="DO9" s="347"/>
      <c r="DP9" s="347"/>
      <c r="DQ9" s="347"/>
      <c r="DR9" s="347"/>
      <c r="DS9" s="347"/>
      <c r="DT9" s="347"/>
      <c r="DU9" s="347"/>
      <c r="DV9" s="347"/>
      <c r="DW9" s="347"/>
      <c r="DX9" s="347"/>
      <c r="DY9" s="347"/>
      <c r="DZ9" s="347"/>
      <c r="EA9" s="347"/>
      <c r="EB9" s="347"/>
      <c r="EC9" s="347"/>
      <c r="ED9" s="347"/>
      <c r="EE9" s="347"/>
      <c r="EF9" s="347"/>
      <c r="EG9" s="347"/>
      <c r="EH9" s="347"/>
      <c r="EI9" s="347"/>
      <c r="EJ9" s="347"/>
      <c r="EK9" s="347"/>
      <c r="EL9" s="347"/>
      <c r="EM9" s="347"/>
      <c r="EN9" s="347"/>
      <c r="EO9" s="347"/>
      <c r="EP9" s="347"/>
      <c r="EQ9" s="347"/>
      <c r="ER9" s="347"/>
      <c r="ES9" s="347"/>
      <c r="ET9" s="347"/>
      <c r="EU9" s="347"/>
      <c r="EV9" s="347"/>
      <c r="EW9" s="347"/>
      <c r="EX9" s="347"/>
      <c r="EY9" s="347"/>
      <c r="EZ9" s="347"/>
      <c r="FA9" s="347"/>
      <c r="FB9" s="347"/>
      <c r="FC9" s="347"/>
      <c r="FD9" s="347"/>
      <c r="FE9" s="347"/>
      <c r="FF9" s="347"/>
      <c r="FG9" s="347"/>
      <c r="FH9" s="347"/>
      <c r="FI9" s="347"/>
      <c r="FJ9" s="347"/>
      <c r="FK9" s="347"/>
      <c r="FL9" s="347"/>
      <c r="FM9" s="347"/>
      <c r="FN9" s="347"/>
      <c r="FO9" s="347"/>
      <c r="FP9" s="347"/>
      <c r="FQ9" s="347"/>
      <c r="FR9" s="347"/>
      <c r="FS9" s="347"/>
      <c r="FT9" s="347"/>
      <c r="FU9" s="347"/>
      <c r="FV9" s="347"/>
      <c r="FW9" s="347"/>
      <c r="FX9" s="347"/>
      <c r="FY9" s="347"/>
      <c r="FZ9" s="347"/>
      <c r="GA9" s="347"/>
      <c r="GB9" s="347"/>
      <c r="GC9" s="347"/>
      <c r="GD9" s="347"/>
      <c r="GE9" s="347"/>
      <c r="GF9" s="347"/>
      <c r="GG9" s="347"/>
      <c r="GH9" s="347"/>
      <c r="GI9" s="347"/>
      <c r="GJ9" s="347"/>
      <c r="GK9" s="347"/>
      <c r="GL9" s="347"/>
      <c r="GM9" s="347"/>
      <c r="GN9" s="347"/>
      <c r="GO9" s="347"/>
      <c r="GP9" s="347"/>
      <c r="GQ9" s="347"/>
      <c r="GR9" s="347"/>
      <c r="GS9" s="347"/>
      <c r="GT9" s="347"/>
      <c r="GU9" s="347"/>
      <c r="GV9" s="347"/>
      <c r="GW9" s="347"/>
      <c r="GX9" s="347"/>
      <c r="GY9" s="347"/>
      <c r="GZ9" s="347"/>
      <c r="HA9" s="347"/>
      <c r="HB9" s="347"/>
      <c r="HC9" s="347"/>
      <c r="HD9" s="347"/>
      <c r="HE9" s="347"/>
      <c r="HF9" s="347"/>
      <c r="HG9" s="347"/>
      <c r="HH9" s="347"/>
      <c r="HI9" s="347"/>
      <c r="HJ9" s="347"/>
      <c r="HK9" s="347"/>
      <c r="HL9" s="347"/>
      <c r="HM9" s="347"/>
      <c r="HN9" s="347"/>
      <c r="HO9" s="347"/>
      <c r="HP9" s="347"/>
      <c r="HQ9" s="347"/>
      <c r="HR9" s="347"/>
      <c r="HS9" s="347"/>
      <c r="HT9" s="347"/>
      <c r="HU9" s="347"/>
      <c r="HV9" s="347"/>
      <c r="HW9" s="347"/>
      <c r="HX9" s="347"/>
      <c r="HY9" s="347"/>
      <c r="HZ9" s="347"/>
      <c r="IA9" s="347"/>
      <c r="IB9" s="347"/>
      <c r="IC9" s="347"/>
      <c r="ID9" s="347"/>
      <c r="IE9" s="347"/>
      <c r="IF9" s="347"/>
      <c r="IG9" s="347"/>
      <c r="IH9" s="347"/>
      <c r="II9" s="347"/>
      <c r="IJ9" s="347"/>
      <c r="IK9" s="347"/>
      <c r="IL9" s="347"/>
      <c r="IM9" s="347"/>
      <c r="IN9" s="347"/>
      <c r="IO9" s="347"/>
      <c r="IP9" s="347"/>
      <c r="IQ9" s="347"/>
      <c r="IR9" s="347"/>
      <c r="IS9" s="347"/>
      <c r="IT9" s="347"/>
      <c r="IU9" s="347"/>
      <c r="IV9" s="331"/>
    </row>
    <row r="10" s="93" customFormat="1" spans="1:256">
      <c r="A10" s="355" t="s">
        <v>1145</v>
      </c>
      <c r="B10" s="142" t="s">
        <v>1138</v>
      </c>
      <c r="C10" s="353" t="s">
        <v>1146</v>
      </c>
      <c r="D10" s="356" t="e">
        <f>D5*D8</f>
        <v>#DIV/0!</v>
      </c>
      <c r="E10" s="34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47"/>
      <c r="AL10" s="347"/>
      <c r="AM10" s="347"/>
      <c r="AN10" s="347"/>
      <c r="AO10" s="347"/>
      <c r="AP10" s="347"/>
      <c r="AQ10" s="347"/>
      <c r="AR10" s="347"/>
      <c r="AS10" s="347"/>
      <c r="AT10" s="347"/>
      <c r="AU10" s="347"/>
      <c r="AV10" s="347"/>
      <c r="AW10" s="347"/>
      <c r="AX10" s="347"/>
      <c r="AY10" s="347"/>
      <c r="AZ10" s="347"/>
      <c r="BA10" s="347"/>
      <c r="BB10" s="347"/>
      <c r="BC10" s="347"/>
      <c r="BD10" s="347"/>
      <c r="BE10" s="347"/>
      <c r="BF10" s="347"/>
      <c r="BG10" s="347"/>
      <c r="BH10" s="347"/>
      <c r="BI10" s="347"/>
      <c r="BJ10" s="347"/>
      <c r="BK10" s="347"/>
      <c r="BL10" s="347"/>
      <c r="BM10" s="347"/>
      <c r="BN10" s="347"/>
      <c r="BO10" s="347"/>
      <c r="BP10" s="347"/>
      <c r="BQ10" s="347"/>
      <c r="BR10" s="347"/>
      <c r="BS10" s="347"/>
      <c r="BT10" s="347"/>
      <c r="BU10" s="347"/>
      <c r="BV10" s="347"/>
      <c r="BW10" s="347"/>
      <c r="BX10" s="347"/>
      <c r="BY10" s="347"/>
      <c r="BZ10" s="347"/>
      <c r="CA10" s="347"/>
      <c r="CB10" s="347"/>
      <c r="CC10" s="347"/>
      <c r="CD10" s="347"/>
      <c r="CE10" s="347"/>
      <c r="CF10" s="347"/>
      <c r="CG10" s="347"/>
      <c r="CH10" s="347"/>
      <c r="CI10" s="347"/>
      <c r="CJ10" s="347"/>
      <c r="CK10" s="347"/>
      <c r="CL10" s="347"/>
      <c r="CM10" s="347"/>
      <c r="CN10" s="347"/>
      <c r="CO10" s="347"/>
      <c r="CP10" s="347"/>
      <c r="CQ10" s="347"/>
      <c r="CR10" s="347"/>
      <c r="CS10" s="347"/>
      <c r="CT10" s="347"/>
      <c r="CU10" s="347"/>
      <c r="CV10" s="347"/>
      <c r="CW10" s="347"/>
      <c r="CX10" s="347"/>
      <c r="CY10" s="347"/>
      <c r="CZ10" s="347"/>
      <c r="DA10" s="347"/>
      <c r="DB10" s="347"/>
      <c r="DC10" s="347"/>
      <c r="DD10" s="347"/>
      <c r="DE10" s="347"/>
      <c r="DF10" s="347"/>
      <c r="DG10" s="347"/>
      <c r="DH10" s="347"/>
      <c r="DI10" s="347"/>
      <c r="DJ10" s="347"/>
      <c r="DK10" s="347"/>
      <c r="DL10" s="347"/>
      <c r="DM10" s="347"/>
      <c r="DN10" s="347"/>
      <c r="DO10" s="347"/>
      <c r="DP10" s="347"/>
      <c r="DQ10" s="347"/>
      <c r="DR10" s="347"/>
      <c r="DS10" s="347"/>
      <c r="DT10" s="347"/>
      <c r="DU10" s="347"/>
      <c r="DV10" s="347"/>
      <c r="DW10" s="347"/>
      <c r="DX10" s="347"/>
      <c r="DY10" s="347"/>
      <c r="DZ10" s="347"/>
      <c r="EA10" s="347"/>
      <c r="EB10" s="347"/>
      <c r="EC10" s="347"/>
      <c r="ED10" s="347"/>
      <c r="EE10" s="347"/>
      <c r="EF10" s="347"/>
      <c r="EG10" s="347"/>
      <c r="EH10" s="347"/>
      <c r="EI10" s="347"/>
      <c r="EJ10" s="347"/>
      <c r="EK10" s="347"/>
      <c r="EL10" s="347"/>
      <c r="EM10" s="347"/>
      <c r="EN10" s="347"/>
      <c r="EO10" s="347"/>
      <c r="EP10" s="347"/>
      <c r="EQ10" s="347"/>
      <c r="ER10" s="347"/>
      <c r="ES10" s="347"/>
      <c r="ET10" s="347"/>
      <c r="EU10" s="347"/>
      <c r="EV10" s="347"/>
      <c r="EW10" s="347"/>
      <c r="EX10" s="347"/>
      <c r="EY10" s="347"/>
      <c r="EZ10" s="347"/>
      <c r="FA10" s="347"/>
      <c r="FB10" s="347"/>
      <c r="FC10" s="347"/>
      <c r="FD10" s="347"/>
      <c r="FE10" s="347"/>
      <c r="FF10" s="347"/>
      <c r="FG10" s="347"/>
      <c r="FH10" s="347"/>
      <c r="FI10" s="347"/>
      <c r="FJ10" s="347"/>
      <c r="FK10" s="347"/>
      <c r="FL10" s="347"/>
      <c r="FM10" s="347"/>
      <c r="FN10" s="347"/>
      <c r="FO10" s="347"/>
      <c r="FP10" s="347"/>
      <c r="FQ10" s="347"/>
      <c r="FR10" s="347"/>
      <c r="FS10" s="347"/>
      <c r="FT10" s="347"/>
      <c r="FU10" s="347"/>
      <c r="FV10" s="347"/>
      <c r="FW10" s="347"/>
      <c r="FX10" s="347"/>
      <c r="FY10" s="347"/>
      <c r="FZ10" s="347"/>
      <c r="GA10" s="347"/>
      <c r="GB10" s="347"/>
      <c r="GC10" s="347"/>
      <c r="GD10" s="347"/>
      <c r="GE10" s="347"/>
      <c r="GF10" s="347"/>
      <c r="GG10" s="347"/>
      <c r="GH10" s="347"/>
      <c r="GI10" s="347"/>
      <c r="GJ10" s="347"/>
      <c r="GK10" s="347"/>
      <c r="GL10" s="347"/>
      <c r="GM10" s="347"/>
      <c r="GN10" s="347"/>
      <c r="GO10" s="347"/>
      <c r="GP10" s="347"/>
      <c r="GQ10" s="347"/>
      <c r="GR10" s="347"/>
      <c r="GS10" s="347"/>
      <c r="GT10" s="347"/>
      <c r="GU10" s="347"/>
      <c r="GV10" s="347"/>
      <c r="GW10" s="347"/>
      <c r="GX10" s="347"/>
      <c r="GY10" s="347"/>
      <c r="GZ10" s="347"/>
      <c r="HA10" s="347"/>
      <c r="HB10" s="347"/>
      <c r="HC10" s="347"/>
      <c r="HD10" s="347"/>
      <c r="HE10" s="347"/>
      <c r="HF10" s="347"/>
      <c r="HG10" s="347"/>
      <c r="HH10" s="347"/>
      <c r="HI10" s="347"/>
      <c r="HJ10" s="347"/>
      <c r="HK10" s="347"/>
      <c r="HL10" s="347"/>
      <c r="HM10" s="347"/>
      <c r="HN10" s="347"/>
      <c r="HO10" s="347"/>
      <c r="HP10" s="347"/>
      <c r="HQ10" s="347"/>
      <c r="HR10" s="347"/>
      <c r="HS10" s="347"/>
      <c r="HT10" s="347"/>
      <c r="HU10" s="347"/>
      <c r="HV10" s="347"/>
      <c r="HW10" s="347"/>
      <c r="HX10" s="347"/>
      <c r="HY10" s="347"/>
      <c r="HZ10" s="347"/>
      <c r="IA10" s="347"/>
      <c r="IB10" s="347"/>
      <c r="IC10" s="347"/>
      <c r="ID10" s="347"/>
      <c r="IE10" s="347"/>
      <c r="IF10" s="347"/>
      <c r="IG10" s="347"/>
      <c r="IH10" s="347"/>
      <c r="II10" s="347"/>
      <c r="IJ10" s="347"/>
      <c r="IK10" s="347"/>
      <c r="IL10" s="347"/>
      <c r="IM10" s="347"/>
      <c r="IN10" s="347"/>
      <c r="IO10" s="347"/>
      <c r="IP10" s="347"/>
      <c r="IQ10" s="347"/>
      <c r="IR10" s="347"/>
      <c r="IS10" s="347"/>
      <c r="IT10" s="347"/>
      <c r="IU10" s="347"/>
      <c r="IV10" s="331"/>
    </row>
    <row r="11" s="93" customFormat="1" spans="1:256">
      <c r="A11" s="355" t="s">
        <v>1147</v>
      </c>
      <c r="B11" s="142" t="s">
        <v>1138</v>
      </c>
      <c r="C11" s="353" t="s">
        <v>1148</v>
      </c>
      <c r="D11" s="356">
        <f>D7</f>
        <v>0</v>
      </c>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X11" s="347"/>
      <c r="CY11" s="347"/>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c r="DZ11" s="347"/>
      <c r="EA11" s="347"/>
      <c r="EB11" s="347"/>
      <c r="EC11" s="347"/>
      <c r="ED11" s="347"/>
      <c r="EE11" s="347"/>
      <c r="EF11" s="347"/>
      <c r="EG11" s="347"/>
      <c r="EH11" s="347"/>
      <c r="EI11" s="347"/>
      <c r="EJ11" s="347"/>
      <c r="EK11" s="347"/>
      <c r="EL11" s="347"/>
      <c r="EM11" s="347"/>
      <c r="EN11" s="347"/>
      <c r="EO11" s="347"/>
      <c r="EP11" s="347"/>
      <c r="EQ11" s="347"/>
      <c r="ER11" s="347"/>
      <c r="ES11" s="347"/>
      <c r="ET11" s="347"/>
      <c r="EU11" s="347"/>
      <c r="EV11" s="347"/>
      <c r="EW11" s="347"/>
      <c r="EX11" s="347"/>
      <c r="EY11" s="347"/>
      <c r="EZ11" s="347"/>
      <c r="FA11" s="347"/>
      <c r="FB11" s="347"/>
      <c r="FC11" s="347"/>
      <c r="FD11" s="347"/>
      <c r="FE11" s="347"/>
      <c r="FF11" s="347"/>
      <c r="FG11" s="347"/>
      <c r="FH11" s="347"/>
      <c r="FI11" s="347"/>
      <c r="FJ11" s="347"/>
      <c r="FK11" s="347"/>
      <c r="FL11" s="347"/>
      <c r="FM11" s="347"/>
      <c r="FN11" s="347"/>
      <c r="FO11" s="347"/>
      <c r="FP11" s="347"/>
      <c r="FQ11" s="347"/>
      <c r="FR11" s="347"/>
      <c r="FS11" s="347"/>
      <c r="FT11" s="347"/>
      <c r="FU11" s="347"/>
      <c r="FV11" s="347"/>
      <c r="FW11" s="347"/>
      <c r="FX11" s="347"/>
      <c r="FY11" s="347"/>
      <c r="FZ11" s="347"/>
      <c r="GA11" s="347"/>
      <c r="GB11" s="347"/>
      <c r="GC11" s="347"/>
      <c r="GD11" s="347"/>
      <c r="GE11" s="347"/>
      <c r="GF11" s="347"/>
      <c r="GG11" s="347"/>
      <c r="GH11" s="347"/>
      <c r="GI11" s="347"/>
      <c r="GJ11" s="347"/>
      <c r="GK11" s="347"/>
      <c r="GL11" s="347"/>
      <c r="GM11" s="347"/>
      <c r="GN11" s="347"/>
      <c r="GO11" s="347"/>
      <c r="GP11" s="347"/>
      <c r="GQ11" s="347"/>
      <c r="GR11" s="347"/>
      <c r="GS11" s="347"/>
      <c r="GT11" s="347"/>
      <c r="GU11" s="347"/>
      <c r="GV11" s="347"/>
      <c r="GW11" s="347"/>
      <c r="GX11" s="347"/>
      <c r="GY11" s="347"/>
      <c r="GZ11" s="347"/>
      <c r="HA11" s="347"/>
      <c r="HB11" s="347"/>
      <c r="HC11" s="347"/>
      <c r="HD11" s="347"/>
      <c r="HE11" s="347"/>
      <c r="HF11" s="347"/>
      <c r="HG11" s="347"/>
      <c r="HH11" s="347"/>
      <c r="HI11" s="347"/>
      <c r="HJ11" s="347"/>
      <c r="HK11" s="347"/>
      <c r="HL11" s="347"/>
      <c r="HM11" s="347"/>
      <c r="HN11" s="347"/>
      <c r="HO11" s="347"/>
      <c r="HP11" s="347"/>
      <c r="HQ11" s="347"/>
      <c r="HR11" s="347"/>
      <c r="HS11" s="347"/>
      <c r="HT11" s="347"/>
      <c r="HU11" s="347"/>
      <c r="HV11" s="347"/>
      <c r="HW11" s="347"/>
      <c r="HX11" s="347"/>
      <c r="HY11" s="347"/>
      <c r="HZ11" s="347"/>
      <c r="IA11" s="347"/>
      <c r="IB11" s="347"/>
      <c r="IC11" s="347"/>
      <c r="ID11" s="347"/>
      <c r="IE11" s="347"/>
      <c r="IF11" s="347"/>
      <c r="IG11" s="347"/>
      <c r="IH11" s="347"/>
      <c r="II11" s="347"/>
      <c r="IJ11" s="347"/>
      <c r="IK11" s="347"/>
      <c r="IL11" s="347"/>
      <c r="IM11" s="347"/>
      <c r="IN11" s="347"/>
      <c r="IO11" s="347"/>
      <c r="IP11" s="347"/>
      <c r="IQ11" s="347"/>
      <c r="IR11" s="347"/>
      <c r="IS11" s="347"/>
      <c r="IT11" s="347"/>
      <c r="IU11" s="347"/>
      <c r="IV11" s="331"/>
    </row>
    <row r="12" s="93" customFormat="1" spans="1:256">
      <c r="A12" s="355" t="s">
        <v>1149</v>
      </c>
      <c r="B12" s="142" t="s">
        <v>1141</v>
      </c>
      <c r="C12" s="353" t="s">
        <v>1133</v>
      </c>
      <c r="D12" s="137"/>
      <c r="E12" s="34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47"/>
      <c r="AL12" s="347"/>
      <c r="AM12" s="347"/>
      <c r="AN12" s="347"/>
      <c r="AO12" s="347"/>
      <c r="AP12" s="347"/>
      <c r="AQ12" s="347"/>
      <c r="AR12" s="347"/>
      <c r="AS12" s="347"/>
      <c r="AT12" s="347"/>
      <c r="AU12" s="347"/>
      <c r="AV12" s="347"/>
      <c r="AW12" s="347"/>
      <c r="AX12" s="347"/>
      <c r="AY12" s="347"/>
      <c r="AZ12" s="347"/>
      <c r="BA12" s="347"/>
      <c r="BB12" s="347"/>
      <c r="BC12" s="347"/>
      <c r="BD12" s="347"/>
      <c r="BE12" s="347"/>
      <c r="BF12" s="347"/>
      <c r="BG12" s="347"/>
      <c r="BH12" s="347"/>
      <c r="BI12" s="347"/>
      <c r="BJ12" s="347"/>
      <c r="BK12" s="347"/>
      <c r="BL12" s="347"/>
      <c r="BM12" s="347"/>
      <c r="BN12" s="347"/>
      <c r="BO12" s="347"/>
      <c r="BP12" s="347"/>
      <c r="BQ12" s="347"/>
      <c r="BR12" s="347"/>
      <c r="BS12" s="347"/>
      <c r="BT12" s="347"/>
      <c r="BU12" s="347"/>
      <c r="BV12" s="347"/>
      <c r="BW12" s="347"/>
      <c r="BX12" s="347"/>
      <c r="BY12" s="347"/>
      <c r="BZ12" s="347"/>
      <c r="CA12" s="347"/>
      <c r="CB12" s="347"/>
      <c r="CC12" s="347"/>
      <c r="CD12" s="347"/>
      <c r="CE12" s="347"/>
      <c r="CF12" s="347"/>
      <c r="CG12" s="347"/>
      <c r="CH12" s="347"/>
      <c r="CI12" s="347"/>
      <c r="CJ12" s="347"/>
      <c r="CK12" s="347"/>
      <c r="CL12" s="347"/>
      <c r="CM12" s="347"/>
      <c r="CN12" s="347"/>
      <c r="CO12" s="347"/>
      <c r="CP12" s="347"/>
      <c r="CQ12" s="347"/>
      <c r="CR12" s="347"/>
      <c r="CS12" s="347"/>
      <c r="CT12" s="347"/>
      <c r="CU12" s="347"/>
      <c r="CV12" s="347"/>
      <c r="CW12" s="347"/>
      <c r="CX12" s="347"/>
      <c r="CY12" s="347"/>
      <c r="CZ12" s="347"/>
      <c r="DA12" s="347"/>
      <c r="DB12" s="347"/>
      <c r="DC12" s="347"/>
      <c r="DD12" s="347"/>
      <c r="DE12" s="347"/>
      <c r="DF12" s="347"/>
      <c r="DG12" s="347"/>
      <c r="DH12" s="347"/>
      <c r="DI12" s="347"/>
      <c r="DJ12" s="347"/>
      <c r="DK12" s="347"/>
      <c r="DL12" s="347"/>
      <c r="DM12" s="347"/>
      <c r="DN12" s="347"/>
      <c r="DO12" s="347"/>
      <c r="DP12" s="347"/>
      <c r="DQ12" s="347"/>
      <c r="DR12" s="347"/>
      <c r="DS12" s="347"/>
      <c r="DT12" s="347"/>
      <c r="DU12" s="347"/>
      <c r="DV12" s="347"/>
      <c r="DW12" s="347"/>
      <c r="DX12" s="347"/>
      <c r="DY12" s="347"/>
      <c r="DZ12" s="347"/>
      <c r="EA12" s="347"/>
      <c r="EB12" s="347"/>
      <c r="EC12" s="347"/>
      <c r="ED12" s="347"/>
      <c r="EE12" s="347"/>
      <c r="EF12" s="347"/>
      <c r="EG12" s="347"/>
      <c r="EH12" s="347"/>
      <c r="EI12" s="347"/>
      <c r="EJ12" s="347"/>
      <c r="EK12" s="347"/>
      <c r="EL12" s="347"/>
      <c r="EM12" s="347"/>
      <c r="EN12" s="347"/>
      <c r="EO12" s="347"/>
      <c r="EP12" s="347"/>
      <c r="EQ12" s="347"/>
      <c r="ER12" s="347"/>
      <c r="ES12" s="347"/>
      <c r="ET12" s="347"/>
      <c r="EU12" s="347"/>
      <c r="EV12" s="347"/>
      <c r="EW12" s="347"/>
      <c r="EX12" s="347"/>
      <c r="EY12" s="347"/>
      <c r="EZ12" s="347"/>
      <c r="FA12" s="347"/>
      <c r="FB12" s="347"/>
      <c r="FC12" s="347"/>
      <c r="FD12" s="347"/>
      <c r="FE12" s="347"/>
      <c r="FF12" s="347"/>
      <c r="FG12" s="347"/>
      <c r="FH12" s="347"/>
      <c r="FI12" s="347"/>
      <c r="FJ12" s="347"/>
      <c r="FK12" s="347"/>
      <c r="FL12" s="347"/>
      <c r="FM12" s="347"/>
      <c r="FN12" s="347"/>
      <c r="FO12" s="347"/>
      <c r="FP12" s="347"/>
      <c r="FQ12" s="347"/>
      <c r="FR12" s="347"/>
      <c r="FS12" s="347"/>
      <c r="FT12" s="347"/>
      <c r="FU12" s="347"/>
      <c r="FV12" s="347"/>
      <c r="FW12" s="347"/>
      <c r="FX12" s="347"/>
      <c r="FY12" s="347"/>
      <c r="FZ12" s="347"/>
      <c r="GA12" s="347"/>
      <c r="GB12" s="347"/>
      <c r="GC12" s="347"/>
      <c r="GD12" s="347"/>
      <c r="GE12" s="347"/>
      <c r="GF12" s="347"/>
      <c r="GG12" s="347"/>
      <c r="GH12" s="347"/>
      <c r="GI12" s="347"/>
      <c r="GJ12" s="347"/>
      <c r="GK12" s="347"/>
      <c r="GL12" s="347"/>
      <c r="GM12" s="347"/>
      <c r="GN12" s="347"/>
      <c r="GO12" s="347"/>
      <c r="GP12" s="347"/>
      <c r="GQ12" s="347"/>
      <c r="GR12" s="347"/>
      <c r="GS12" s="347"/>
      <c r="GT12" s="347"/>
      <c r="GU12" s="347"/>
      <c r="GV12" s="347"/>
      <c r="GW12" s="347"/>
      <c r="GX12" s="347"/>
      <c r="GY12" s="347"/>
      <c r="GZ12" s="347"/>
      <c r="HA12" s="347"/>
      <c r="HB12" s="347"/>
      <c r="HC12" s="347"/>
      <c r="HD12" s="347"/>
      <c r="HE12" s="347"/>
      <c r="HF12" s="347"/>
      <c r="HG12" s="347"/>
      <c r="HH12" s="347"/>
      <c r="HI12" s="347"/>
      <c r="HJ12" s="347"/>
      <c r="HK12" s="347"/>
      <c r="HL12" s="347"/>
      <c r="HM12" s="347"/>
      <c r="HN12" s="347"/>
      <c r="HO12" s="347"/>
      <c r="HP12" s="347"/>
      <c r="HQ12" s="347"/>
      <c r="HR12" s="347"/>
      <c r="HS12" s="347"/>
      <c r="HT12" s="347"/>
      <c r="HU12" s="347"/>
      <c r="HV12" s="347"/>
      <c r="HW12" s="347"/>
      <c r="HX12" s="347"/>
      <c r="HY12" s="347"/>
      <c r="HZ12" s="347"/>
      <c r="IA12" s="347"/>
      <c r="IB12" s="347"/>
      <c r="IC12" s="347"/>
      <c r="ID12" s="347"/>
      <c r="IE12" s="347"/>
      <c r="IF12" s="347"/>
      <c r="IG12" s="347"/>
      <c r="IH12" s="347"/>
      <c r="II12" s="347"/>
      <c r="IJ12" s="347"/>
      <c r="IK12" s="347"/>
      <c r="IL12" s="347"/>
      <c r="IM12" s="347"/>
      <c r="IN12" s="347"/>
      <c r="IO12" s="347"/>
      <c r="IP12" s="347"/>
      <c r="IQ12" s="347"/>
      <c r="IR12" s="347"/>
      <c r="IS12" s="347"/>
      <c r="IT12" s="347"/>
      <c r="IU12" s="347"/>
      <c r="IV12" s="331"/>
    </row>
    <row r="13" s="93" customFormat="1" spans="1:256">
      <c r="A13" s="355" t="s">
        <v>1150</v>
      </c>
      <c r="B13" s="142" t="s">
        <v>1138</v>
      </c>
      <c r="C13" s="353" t="s">
        <v>1151</v>
      </c>
      <c r="D13" s="356">
        <f>D4*D12</f>
        <v>0</v>
      </c>
      <c r="E13" s="34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47"/>
      <c r="AL13" s="347"/>
      <c r="AM13" s="347"/>
      <c r="AN13" s="347"/>
      <c r="AO13" s="347"/>
      <c r="AP13" s="347"/>
      <c r="AQ13" s="347"/>
      <c r="AR13" s="347"/>
      <c r="AS13" s="347"/>
      <c r="AT13" s="347"/>
      <c r="AU13" s="347"/>
      <c r="AV13" s="347"/>
      <c r="AW13" s="347"/>
      <c r="AX13" s="347"/>
      <c r="AY13" s="347"/>
      <c r="AZ13" s="347"/>
      <c r="BA13" s="347"/>
      <c r="BB13" s="347"/>
      <c r="BC13" s="347"/>
      <c r="BD13" s="347"/>
      <c r="BE13" s="347"/>
      <c r="BF13" s="347"/>
      <c r="BG13" s="347"/>
      <c r="BH13" s="347"/>
      <c r="BI13" s="347"/>
      <c r="BJ13" s="347"/>
      <c r="BK13" s="347"/>
      <c r="BL13" s="347"/>
      <c r="BM13" s="347"/>
      <c r="BN13" s="347"/>
      <c r="BO13" s="347"/>
      <c r="BP13" s="347"/>
      <c r="BQ13" s="347"/>
      <c r="BR13" s="347"/>
      <c r="BS13" s="347"/>
      <c r="BT13" s="347"/>
      <c r="BU13" s="347"/>
      <c r="BV13" s="347"/>
      <c r="BW13" s="347"/>
      <c r="BX13" s="347"/>
      <c r="BY13" s="347"/>
      <c r="BZ13" s="347"/>
      <c r="CA13" s="347"/>
      <c r="CB13" s="347"/>
      <c r="CC13" s="347"/>
      <c r="CD13" s="347"/>
      <c r="CE13" s="347"/>
      <c r="CF13" s="347"/>
      <c r="CG13" s="347"/>
      <c r="CH13" s="347"/>
      <c r="CI13" s="347"/>
      <c r="CJ13" s="347"/>
      <c r="CK13" s="347"/>
      <c r="CL13" s="347"/>
      <c r="CM13" s="347"/>
      <c r="CN13" s="347"/>
      <c r="CO13" s="347"/>
      <c r="CP13" s="347"/>
      <c r="CQ13" s="347"/>
      <c r="CR13" s="347"/>
      <c r="CS13" s="347"/>
      <c r="CT13" s="347"/>
      <c r="CU13" s="347"/>
      <c r="CV13" s="347"/>
      <c r="CW13" s="347"/>
      <c r="CX13" s="347"/>
      <c r="CY13" s="347"/>
      <c r="CZ13" s="347"/>
      <c r="DA13" s="347"/>
      <c r="DB13" s="347"/>
      <c r="DC13" s="347"/>
      <c r="DD13" s="347"/>
      <c r="DE13" s="347"/>
      <c r="DF13" s="347"/>
      <c r="DG13" s="347"/>
      <c r="DH13" s="347"/>
      <c r="DI13" s="347"/>
      <c r="DJ13" s="347"/>
      <c r="DK13" s="347"/>
      <c r="DL13" s="347"/>
      <c r="DM13" s="347"/>
      <c r="DN13" s="347"/>
      <c r="DO13" s="347"/>
      <c r="DP13" s="347"/>
      <c r="DQ13" s="347"/>
      <c r="DR13" s="347"/>
      <c r="DS13" s="347"/>
      <c r="DT13" s="347"/>
      <c r="DU13" s="347"/>
      <c r="DV13" s="347"/>
      <c r="DW13" s="347"/>
      <c r="DX13" s="347"/>
      <c r="DY13" s="347"/>
      <c r="DZ13" s="347"/>
      <c r="EA13" s="347"/>
      <c r="EB13" s="347"/>
      <c r="EC13" s="347"/>
      <c r="ED13" s="347"/>
      <c r="EE13" s="347"/>
      <c r="EF13" s="347"/>
      <c r="EG13" s="347"/>
      <c r="EH13" s="347"/>
      <c r="EI13" s="347"/>
      <c r="EJ13" s="347"/>
      <c r="EK13" s="347"/>
      <c r="EL13" s="347"/>
      <c r="EM13" s="347"/>
      <c r="EN13" s="347"/>
      <c r="EO13" s="347"/>
      <c r="EP13" s="347"/>
      <c r="EQ13" s="347"/>
      <c r="ER13" s="347"/>
      <c r="ES13" s="347"/>
      <c r="ET13" s="347"/>
      <c r="EU13" s="347"/>
      <c r="EV13" s="347"/>
      <c r="EW13" s="347"/>
      <c r="EX13" s="347"/>
      <c r="EY13" s="347"/>
      <c r="EZ13" s="347"/>
      <c r="FA13" s="347"/>
      <c r="FB13" s="347"/>
      <c r="FC13" s="347"/>
      <c r="FD13" s="347"/>
      <c r="FE13" s="347"/>
      <c r="FF13" s="347"/>
      <c r="FG13" s="347"/>
      <c r="FH13" s="347"/>
      <c r="FI13" s="347"/>
      <c r="FJ13" s="347"/>
      <c r="FK13" s="347"/>
      <c r="FL13" s="347"/>
      <c r="FM13" s="347"/>
      <c r="FN13" s="347"/>
      <c r="FO13" s="347"/>
      <c r="FP13" s="347"/>
      <c r="FQ13" s="347"/>
      <c r="FR13" s="347"/>
      <c r="FS13" s="347"/>
      <c r="FT13" s="347"/>
      <c r="FU13" s="347"/>
      <c r="FV13" s="347"/>
      <c r="FW13" s="347"/>
      <c r="FX13" s="347"/>
      <c r="FY13" s="347"/>
      <c r="FZ13" s="347"/>
      <c r="GA13" s="347"/>
      <c r="GB13" s="347"/>
      <c r="GC13" s="347"/>
      <c r="GD13" s="347"/>
      <c r="GE13" s="347"/>
      <c r="GF13" s="347"/>
      <c r="GG13" s="347"/>
      <c r="GH13" s="347"/>
      <c r="GI13" s="347"/>
      <c r="GJ13" s="347"/>
      <c r="GK13" s="347"/>
      <c r="GL13" s="347"/>
      <c r="GM13" s="347"/>
      <c r="GN13" s="347"/>
      <c r="GO13" s="347"/>
      <c r="GP13" s="347"/>
      <c r="GQ13" s="347"/>
      <c r="GR13" s="347"/>
      <c r="GS13" s="347"/>
      <c r="GT13" s="347"/>
      <c r="GU13" s="347"/>
      <c r="GV13" s="347"/>
      <c r="GW13" s="347"/>
      <c r="GX13" s="347"/>
      <c r="GY13" s="347"/>
      <c r="GZ13" s="347"/>
      <c r="HA13" s="347"/>
      <c r="HB13" s="347"/>
      <c r="HC13" s="347"/>
      <c r="HD13" s="347"/>
      <c r="HE13" s="347"/>
      <c r="HF13" s="347"/>
      <c r="HG13" s="347"/>
      <c r="HH13" s="347"/>
      <c r="HI13" s="347"/>
      <c r="HJ13" s="347"/>
      <c r="HK13" s="347"/>
      <c r="HL13" s="347"/>
      <c r="HM13" s="347"/>
      <c r="HN13" s="347"/>
      <c r="HO13" s="347"/>
      <c r="HP13" s="347"/>
      <c r="HQ13" s="347"/>
      <c r="HR13" s="347"/>
      <c r="HS13" s="347"/>
      <c r="HT13" s="347"/>
      <c r="HU13" s="347"/>
      <c r="HV13" s="347"/>
      <c r="HW13" s="347"/>
      <c r="HX13" s="347"/>
      <c r="HY13" s="347"/>
      <c r="HZ13" s="347"/>
      <c r="IA13" s="347"/>
      <c r="IB13" s="347"/>
      <c r="IC13" s="347"/>
      <c r="ID13" s="347"/>
      <c r="IE13" s="347"/>
      <c r="IF13" s="347"/>
      <c r="IG13" s="347"/>
      <c r="IH13" s="347"/>
      <c r="II13" s="347"/>
      <c r="IJ13" s="347"/>
      <c r="IK13" s="347"/>
      <c r="IL13" s="347"/>
      <c r="IM13" s="347"/>
      <c r="IN13" s="347"/>
      <c r="IO13" s="347"/>
      <c r="IP13" s="347"/>
      <c r="IQ13" s="347"/>
      <c r="IR13" s="347"/>
      <c r="IS13" s="347"/>
      <c r="IT13" s="347"/>
      <c r="IU13" s="347"/>
      <c r="IV13" s="331"/>
    </row>
    <row r="14" s="93" customFormat="1" spans="1:256">
      <c r="A14" s="355" t="s">
        <v>1152</v>
      </c>
      <c r="B14" s="142"/>
      <c r="C14" s="353" t="s">
        <v>1153</v>
      </c>
      <c r="D14" s="357" t="e">
        <f>(D12-D8)/D12</f>
        <v>#DIV/0!</v>
      </c>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7"/>
      <c r="AT14" s="347"/>
      <c r="AU14" s="347"/>
      <c r="AV14" s="347"/>
      <c r="AW14" s="347"/>
      <c r="AX14" s="347"/>
      <c r="AY14" s="347"/>
      <c r="AZ14" s="347"/>
      <c r="BA14" s="347"/>
      <c r="BB14" s="347"/>
      <c r="BC14" s="347"/>
      <c r="BD14" s="347"/>
      <c r="BE14" s="347"/>
      <c r="BF14" s="347"/>
      <c r="BG14" s="347"/>
      <c r="BH14" s="347"/>
      <c r="BI14" s="347"/>
      <c r="BJ14" s="347"/>
      <c r="BK14" s="347"/>
      <c r="BL14" s="347"/>
      <c r="BM14" s="347"/>
      <c r="BN14" s="347"/>
      <c r="BO14" s="347"/>
      <c r="BP14" s="347"/>
      <c r="BQ14" s="347"/>
      <c r="BR14" s="347"/>
      <c r="BS14" s="347"/>
      <c r="BT14" s="347"/>
      <c r="BU14" s="347"/>
      <c r="BV14" s="347"/>
      <c r="BW14" s="347"/>
      <c r="BX14" s="347"/>
      <c r="BY14" s="347"/>
      <c r="BZ14" s="347"/>
      <c r="CA14" s="347"/>
      <c r="CB14" s="347"/>
      <c r="CC14" s="347"/>
      <c r="CD14" s="347"/>
      <c r="CE14" s="347"/>
      <c r="CF14" s="347"/>
      <c r="CG14" s="347"/>
      <c r="CH14" s="347"/>
      <c r="CI14" s="347"/>
      <c r="CJ14" s="347"/>
      <c r="CK14" s="347"/>
      <c r="CL14" s="347"/>
      <c r="CM14" s="347"/>
      <c r="CN14" s="347"/>
      <c r="CO14" s="347"/>
      <c r="CP14" s="347"/>
      <c r="CQ14" s="347"/>
      <c r="CR14" s="347"/>
      <c r="CS14" s="347"/>
      <c r="CT14" s="347"/>
      <c r="CU14" s="347"/>
      <c r="CV14" s="347"/>
      <c r="CW14" s="347"/>
      <c r="CX14" s="347"/>
      <c r="CY14" s="347"/>
      <c r="CZ14" s="347"/>
      <c r="DA14" s="347"/>
      <c r="DB14" s="347"/>
      <c r="DC14" s="347"/>
      <c r="DD14" s="347"/>
      <c r="DE14" s="347"/>
      <c r="DF14" s="347"/>
      <c r="DG14" s="347"/>
      <c r="DH14" s="347"/>
      <c r="DI14" s="347"/>
      <c r="DJ14" s="347"/>
      <c r="DK14" s="347"/>
      <c r="DL14" s="347"/>
      <c r="DM14" s="347"/>
      <c r="DN14" s="347"/>
      <c r="DO14" s="347"/>
      <c r="DP14" s="347"/>
      <c r="DQ14" s="347"/>
      <c r="DR14" s="347"/>
      <c r="DS14" s="347"/>
      <c r="DT14" s="347"/>
      <c r="DU14" s="347"/>
      <c r="DV14" s="347"/>
      <c r="DW14" s="347"/>
      <c r="DX14" s="347"/>
      <c r="DY14" s="347"/>
      <c r="DZ14" s="347"/>
      <c r="EA14" s="347"/>
      <c r="EB14" s="347"/>
      <c r="EC14" s="347"/>
      <c r="ED14" s="347"/>
      <c r="EE14" s="347"/>
      <c r="EF14" s="347"/>
      <c r="EG14" s="347"/>
      <c r="EH14" s="347"/>
      <c r="EI14" s="347"/>
      <c r="EJ14" s="347"/>
      <c r="EK14" s="347"/>
      <c r="EL14" s="347"/>
      <c r="EM14" s="347"/>
      <c r="EN14" s="347"/>
      <c r="EO14" s="347"/>
      <c r="EP14" s="347"/>
      <c r="EQ14" s="347"/>
      <c r="ER14" s="347"/>
      <c r="ES14" s="347"/>
      <c r="ET14" s="347"/>
      <c r="EU14" s="347"/>
      <c r="EV14" s="347"/>
      <c r="EW14" s="347"/>
      <c r="EX14" s="347"/>
      <c r="EY14" s="347"/>
      <c r="EZ14" s="347"/>
      <c r="FA14" s="347"/>
      <c r="FB14" s="347"/>
      <c r="FC14" s="347"/>
      <c r="FD14" s="347"/>
      <c r="FE14" s="347"/>
      <c r="FF14" s="347"/>
      <c r="FG14" s="347"/>
      <c r="FH14" s="347"/>
      <c r="FI14" s="347"/>
      <c r="FJ14" s="347"/>
      <c r="FK14" s="347"/>
      <c r="FL14" s="347"/>
      <c r="FM14" s="347"/>
      <c r="FN14" s="347"/>
      <c r="FO14" s="347"/>
      <c r="FP14" s="347"/>
      <c r="FQ14" s="347"/>
      <c r="FR14" s="347"/>
      <c r="FS14" s="347"/>
      <c r="FT14" s="347"/>
      <c r="FU14" s="347"/>
      <c r="FV14" s="347"/>
      <c r="FW14" s="347"/>
      <c r="FX14" s="347"/>
      <c r="FY14" s="347"/>
      <c r="FZ14" s="347"/>
      <c r="GA14" s="347"/>
      <c r="GB14" s="347"/>
      <c r="GC14" s="347"/>
      <c r="GD14" s="347"/>
      <c r="GE14" s="347"/>
      <c r="GF14" s="347"/>
      <c r="GG14" s="347"/>
      <c r="GH14" s="347"/>
      <c r="GI14" s="347"/>
      <c r="GJ14" s="347"/>
      <c r="GK14" s="347"/>
      <c r="GL14" s="347"/>
      <c r="GM14" s="347"/>
      <c r="GN14" s="347"/>
      <c r="GO14" s="347"/>
      <c r="GP14" s="347"/>
      <c r="GQ14" s="347"/>
      <c r="GR14" s="347"/>
      <c r="GS14" s="347"/>
      <c r="GT14" s="347"/>
      <c r="GU14" s="347"/>
      <c r="GV14" s="347"/>
      <c r="GW14" s="347"/>
      <c r="GX14" s="347"/>
      <c r="GY14" s="347"/>
      <c r="GZ14" s="347"/>
      <c r="HA14" s="347"/>
      <c r="HB14" s="347"/>
      <c r="HC14" s="347"/>
      <c r="HD14" s="347"/>
      <c r="HE14" s="347"/>
      <c r="HF14" s="347"/>
      <c r="HG14" s="347"/>
      <c r="HH14" s="347"/>
      <c r="HI14" s="347"/>
      <c r="HJ14" s="347"/>
      <c r="HK14" s="347"/>
      <c r="HL14" s="347"/>
      <c r="HM14" s="347"/>
      <c r="HN14" s="347"/>
      <c r="HO14" s="347"/>
      <c r="HP14" s="347"/>
      <c r="HQ14" s="347"/>
      <c r="HR14" s="347"/>
      <c r="HS14" s="347"/>
      <c r="HT14" s="347"/>
      <c r="HU14" s="347"/>
      <c r="HV14" s="347"/>
      <c r="HW14" s="347"/>
      <c r="HX14" s="347"/>
      <c r="HY14" s="347"/>
      <c r="HZ14" s="347"/>
      <c r="IA14" s="347"/>
      <c r="IB14" s="347"/>
      <c r="IC14" s="347"/>
      <c r="ID14" s="347"/>
      <c r="IE14" s="347"/>
      <c r="IF14" s="347"/>
      <c r="IG14" s="347"/>
      <c r="IH14" s="347"/>
      <c r="II14" s="347"/>
      <c r="IJ14" s="347"/>
      <c r="IK14" s="347"/>
      <c r="IL14" s="347"/>
      <c r="IM14" s="347"/>
      <c r="IN14" s="347"/>
      <c r="IO14" s="347"/>
      <c r="IP14" s="347"/>
      <c r="IQ14" s="347"/>
      <c r="IR14" s="347"/>
      <c r="IS14" s="347"/>
      <c r="IT14" s="347"/>
      <c r="IU14" s="347"/>
      <c r="IV14" s="331"/>
    </row>
    <row r="15" s="93" customFormat="1" spans="1:256">
      <c r="A15" s="355" t="s">
        <v>1154</v>
      </c>
      <c r="B15" s="142"/>
      <c r="C15" s="353" t="s">
        <v>1155</v>
      </c>
      <c r="D15" s="357" t="e">
        <f>(D13-D9)/D13</f>
        <v>#DIV/0!</v>
      </c>
      <c r="E15" s="34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47"/>
      <c r="AL15" s="347"/>
      <c r="AM15" s="347"/>
      <c r="AN15" s="347"/>
      <c r="AO15" s="347"/>
      <c r="AP15" s="347"/>
      <c r="AQ15" s="347"/>
      <c r="AR15" s="347"/>
      <c r="AS15" s="347"/>
      <c r="AT15" s="347"/>
      <c r="AU15" s="347"/>
      <c r="AV15" s="347"/>
      <c r="AW15" s="347"/>
      <c r="AX15" s="347"/>
      <c r="AY15" s="347"/>
      <c r="AZ15" s="347"/>
      <c r="BA15" s="347"/>
      <c r="BB15" s="347"/>
      <c r="BC15" s="347"/>
      <c r="BD15" s="347"/>
      <c r="BE15" s="347"/>
      <c r="BF15" s="347"/>
      <c r="BG15" s="347"/>
      <c r="BH15" s="347"/>
      <c r="BI15" s="347"/>
      <c r="BJ15" s="347"/>
      <c r="BK15" s="347"/>
      <c r="BL15" s="347"/>
      <c r="BM15" s="347"/>
      <c r="BN15" s="347"/>
      <c r="BO15" s="347"/>
      <c r="BP15" s="347"/>
      <c r="BQ15" s="347"/>
      <c r="BR15" s="347"/>
      <c r="BS15" s="347"/>
      <c r="BT15" s="347"/>
      <c r="BU15" s="347"/>
      <c r="BV15" s="347"/>
      <c r="BW15" s="347"/>
      <c r="BX15" s="347"/>
      <c r="BY15" s="347"/>
      <c r="BZ15" s="347"/>
      <c r="CA15" s="347"/>
      <c r="CB15" s="347"/>
      <c r="CC15" s="347"/>
      <c r="CD15" s="347"/>
      <c r="CE15" s="347"/>
      <c r="CF15" s="347"/>
      <c r="CG15" s="347"/>
      <c r="CH15" s="347"/>
      <c r="CI15" s="347"/>
      <c r="CJ15" s="347"/>
      <c r="CK15" s="347"/>
      <c r="CL15" s="347"/>
      <c r="CM15" s="347"/>
      <c r="CN15" s="347"/>
      <c r="CO15" s="347"/>
      <c r="CP15" s="347"/>
      <c r="CQ15" s="347"/>
      <c r="CR15" s="347"/>
      <c r="CS15" s="347"/>
      <c r="CT15" s="347"/>
      <c r="CU15" s="347"/>
      <c r="CV15" s="347"/>
      <c r="CW15" s="347"/>
      <c r="CX15" s="347"/>
      <c r="CY15" s="347"/>
      <c r="CZ15" s="347"/>
      <c r="DA15" s="347"/>
      <c r="DB15" s="347"/>
      <c r="DC15" s="347"/>
      <c r="DD15" s="347"/>
      <c r="DE15" s="347"/>
      <c r="DF15" s="347"/>
      <c r="DG15" s="347"/>
      <c r="DH15" s="347"/>
      <c r="DI15" s="347"/>
      <c r="DJ15" s="347"/>
      <c r="DK15" s="347"/>
      <c r="DL15" s="347"/>
      <c r="DM15" s="347"/>
      <c r="DN15" s="347"/>
      <c r="DO15" s="347"/>
      <c r="DP15" s="347"/>
      <c r="DQ15" s="347"/>
      <c r="DR15" s="347"/>
      <c r="DS15" s="347"/>
      <c r="DT15" s="347"/>
      <c r="DU15" s="347"/>
      <c r="DV15" s="347"/>
      <c r="DW15" s="347"/>
      <c r="DX15" s="347"/>
      <c r="DY15" s="347"/>
      <c r="DZ15" s="347"/>
      <c r="EA15" s="347"/>
      <c r="EB15" s="347"/>
      <c r="EC15" s="347"/>
      <c r="ED15" s="347"/>
      <c r="EE15" s="347"/>
      <c r="EF15" s="347"/>
      <c r="EG15" s="347"/>
      <c r="EH15" s="347"/>
      <c r="EI15" s="347"/>
      <c r="EJ15" s="347"/>
      <c r="EK15" s="347"/>
      <c r="EL15" s="347"/>
      <c r="EM15" s="347"/>
      <c r="EN15" s="347"/>
      <c r="EO15" s="347"/>
      <c r="EP15" s="347"/>
      <c r="EQ15" s="347"/>
      <c r="ER15" s="347"/>
      <c r="ES15" s="347"/>
      <c r="ET15" s="347"/>
      <c r="EU15" s="347"/>
      <c r="EV15" s="347"/>
      <c r="EW15" s="347"/>
      <c r="EX15" s="347"/>
      <c r="EY15" s="347"/>
      <c r="EZ15" s="347"/>
      <c r="FA15" s="347"/>
      <c r="FB15" s="347"/>
      <c r="FC15" s="347"/>
      <c r="FD15" s="347"/>
      <c r="FE15" s="347"/>
      <c r="FF15" s="347"/>
      <c r="FG15" s="347"/>
      <c r="FH15" s="347"/>
      <c r="FI15" s="347"/>
      <c r="FJ15" s="347"/>
      <c r="FK15" s="347"/>
      <c r="FL15" s="347"/>
      <c r="FM15" s="347"/>
      <c r="FN15" s="347"/>
      <c r="FO15" s="347"/>
      <c r="FP15" s="347"/>
      <c r="FQ15" s="347"/>
      <c r="FR15" s="347"/>
      <c r="FS15" s="347"/>
      <c r="FT15" s="347"/>
      <c r="FU15" s="347"/>
      <c r="FV15" s="347"/>
      <c r="FW15" s="347"/>
      <c r="FX15" s="347"/>
      <c r="FY15" s="347"/>
      <c r="FZ15" s="347"/>
      <c r="GA15" s="347"/>
      <c r="GB15" s="347"/>
      <c r="GC15" s="347"/>
      <c r="GD15" s="347"/>
      <c r="GE15" s="347"/>
      <c r="GF15" s="347"/>
      <c r="GG15" s="347"/>
      <c r="GH15" s="347"/>
      <c r="GI15" s="347"/>
      <c r="GJ15" s="347"/>
      <c r="GK15" s="347"/>
      <c r="GL15" s="347"/>
      <c r="GM15" s="347"/>
      <c r="GN15" s="347"/>
      <c r="GO15" s="347"/>
      <c r="GP15" s="347"/>
      <c r="GQ15" s="347"/>
      <c r="GR15" s="347"/>
      <c r="GS15" s="347"/>
      <c r="GT15" s="347"/>
      <c r="GU15" s="347"/>
      <c r="GV15" s="347"/>
      <c r="GW15" s="347"/>
      <c r="GX15" s="347"/>
      <c r="GY15" s="347"/>
      <c r="GZ15" s="347"/>
      <c r="HA15" s="347"/>
      <c r="HB15" s="347"/>
      <c r="HC15" s="347"/>
      <c r="HD15" s="347"/>
      <c r="HE15" s="347"/>
      <c r="HF15" s="347"/>
      <c r="HG15" s="347"/>
      <c r="HH15" s="347"/>
      <c r="HI15" s="347"/>
      <c r="HJ15" s="347"/>
      <c r="HK15" s="347"/>
      <c r="HL15" s="347"/>
      <c r="HM15" s="347"/>
      <c r="HN15" s="347"/>
      <c r="HO15" s="347"/>
      <c r="HP15" s="347"/>
      <c r="HQ15" s="347"/>
      <c r="HR15" s="347"/>
      <c r="HS15" s="347"/>
      <c r="HT15" s="347"/>
      <c r="HU15" s="347"/>
      <c r="HV15" s="347"/>
      <c r="HW15" s="347"/>
      <c r="HX15" s="347"/>
      <c r="HY15" s="347"/>
      <c r="HZ15" s="347"/>
      <c r="IA15" s="347"/>
      <c r="IB15" s="347"/>
      <c r="IC15" s="347"/>
      <c r="ID15" s="347"/>
      <c r="IE15" s="347"/>
      <c r="IF15" s="347"/>
      <c r="IG15" s="347"/>
      <c r="IH15" s="347"/>
      <c r="II15" s="347"/>
      <c r="IJ15" s="347"/>
      <c r="IK15" s="347"/>
      <c r="IL15" s="347"/>
      <c r="IM15" s="347"/>
      <c r="IN15" s="347"/>
      <c r="IO15" s="347"/>
      <c r="IP15" s="347"/>
      <c r="IQ15" s="347"/>
      <c r="IR15" s="347"/>
      <c r="IS15" s="347"/>
      <c r="IT15" s="347"/>
      <c r="IU15" s="347"/>
      <c r="IV15" s="331"/>
    </row>
    <row r="16" s="93" customFormat="1" spans="1:256">
      <c r="A16" s="358" t="s">
        <v>1156</v>
      </c>
      <c r="B16" s="142"/>
      <c r="C16" s="353" t="s">
        <v>1157</v>
      </c>
      <c r="D16" s="359" t="e">
        <f>IF(AND(D15&gt;=10%,D15&lt;20%),"警惕",IF(AND(D15&gt;=20%,D15&lt;30%),"不大好",IF(AND(D15&gt;=30%,D15&lt;40%),"较安全",IF(D15&gt;=40%,"很安全","危险"))))</f>
        <v>#DIV/0!</v>
      </c>
      <c r="E16" s="34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47"/>
      <c r="AL16" s="347"/>
      <c r="AM16" s="347"/>
      <c r="AN16" s="347"/>
      <c r="AO16" s="347"/>
      <c r="AP16" s="347"/>
      <c r="AQ16" s="347"/>
      <c r="AR16" s="347"/>
      <c r="AS16" s="347"/>
      <c r="AT16" s="347"/>
      <c r="AU16" s="347"/>
      <c r="AV16" s="347"/>
      <c r="AW16" s="347"/>
      <c r="AX16" s="347"/>
      <c r="AY16" s="347"/>
      <c r="AZ16" s="347"/>
      <c r="BA16" s="347"/>
      <c r="BB16" s="347"/>
      <c r="BC16" s="347"/>
      <c r="BD16" s="347"/>
      <c r="BE16" s="347"/>
      <c r="BF16" s="347"/>
      <c r="BG16" s="347"/>
      <c r="BH16" s="347"/>
      <c r="BI16" s="347"/>
      <c r="BJ16" s="347"/>
      <c r="BK16" s="347"/>
      <c r="BL16" s="347"/>
      <c r="BM16" s="347"/>
      <c r="BN16" s="347"/>
      <c r="BO16" s="347"/>
      <c r="BP16" s="347"/>
      <c r="BQ16" s="347"/>
      <c r="BR16" s="347"/>
      <c r="BS16" s="347"/>
      <c r="BT16" s="347"/>
      <c r="BU16" s="347"/>
      <c r="BV16" s="347"/>
      <c r="BW16" s="347"/>
      <c r="BX16" s="347"/>
      <c r="BY16" s="347"/>
      <c r="BZ16" s="347"/>
      <c r="CA16" s="347"/>
      <c r="CB16" s="347"/>
      <c r="CC16" s="347"/>
      <c r="CD16" s="347"/>
      <c r="CE16" s="347"/>
      <c r="CF16" s="347"/>
      <c r="CG16" s="347"/>
      <c r="CH16" s="347"/>
      <c r="CI16" s="347"/>
      <c r="CJ16" s="347"/>
      <c r="CK16" s="347"/>
      <c r="CL16" s="347"/>
      <c r="CM16" s="347"/>
      <c r="CN16" s="347"/>
      <c r="CO16" s="347"/>
      <c r="CP16" s="347"/>
      <c r="CQ16" s="347"/>
      <c r="CR16" s="347"/>
      <c r="CS16" s="347"/>
      <c r="CT16" s="347"/>
      <c r="CU16" s="347"/>
      <c r="CV16" s="347"/>
      <c r="CW16" s="347"/>
      <c r="CX16" s="347"/>
      <c r="CY16" s="347"/>
      <c r="CZ16" s="347"/>
      <c r="DA16" s="347"/>
      <c r="DB16" s="347"/>
      <c r="DC16" s="347"/>
      <c r="DD16" s="347"/>
      <c r="DE16" s="347"/>
      <c r="DF16" s="347"/>
      <c r="DG16" s="347"/>
      <c r="DH16" s="347"/>
      <c r="DI16" s="347"/>
      <c r="DJ16" s="347"/>
      <c r="DK16" s="347"/>
      <c r="DL16" s="347"/>
      <c r="DM16" s="347"/>
      <c r="DN16" s="347"/>
      <c r="DO16" s="347"/>
      <c r="DP16" s="347"/>
      <c r="DQ16" s="347"/>
      <c r="DR16" s="347"/>
      <c r="DS16" s="347"/>
      <c r="DT16" s="347"/>
      <c r="DU16" s="347"/>
      <c r="DV16" s="347"/>
      <c r="DW16" s="347"/>
      <c r="DX16" s="347"/>
      <c r="DY16" s="347"/>
      <c r="DZ16" s="347"/>
      <c r="EA16" s="347"/>
      <c r="EB16" s="347"/>
      <c r="EC16" s="347"/>
      <c r="ED16" s="347"/>
      <c r="EE16" s="347"/>
      <c r="EF16" s="347"/>
      <c r="EG16" s="347"/>
      <c r="EH16" s="347"/>
      <c r="EI16" s="347"/>
      <c r="EJ16" s="347"/>
      <c r="EK16" s="347"/>
      <c r="EL16" s="347"/>
      <c r="EM16" s="347"/>
      <c r="EN16" s="347"/>
      <c r="EO16" s="347"/>
      <c r="EP16" s="347"/>
      <c r="EQ16" s="347"/>
      <c r="ER16" s="347"/>
      <c r="ES16" s="347"/>
      <c r="ET16" s="347"/>
      <c r="EU16" s="347"/>
      <c r="EV16" s="347"/>
      <c r="EW16" s="347"/>
      <c r="EX16" s="347"/>
      <c r="EY16" s="347"/>
      <c r="EZ16" s="347"/>
      <c r="FA16" s="347"/>
      <c r="FB16" s="347"/>
      <c r="FC16" s="347"/>
      <c r="FD16" s="347"/>
      <c r="FE16" s="347"/>
      <c r="FF16" s="347"/>
      <c r="FG16" s="347"/>
      <c r="FH16" s="347"/>
      <c r="FI16" s="347"/>
      <c r="FJ16" s="347"/>
      <c r="FK16" s="347"/>
      <c r="FL16" s="347"/>
      <c r="FM16" s="347"/>
      <c r="FN16" s="347"/>
      <c r="FO16" s="347"/>
      <c r="FP16" s="347"/>
      <c r="FQ16" s="347"/>
      <c r="FR16" s="347"/>
      <c r="FS16" s="347"/>
      <c r="FT16" s="347"/>
      <c r="FU16" s="347"/>
      <c r="FV16" s="347"/>
      <c r="FW16" s="347"/>
      <c r="FX16" s="347"/>
      <c r="FY16" s="347"/>
      <c r="FZ16" s="347"/>
      <c r="GA16" s="347"/>
      <c r="GB16" s="347"/>
      <c r="GC16" s="347"/>
      <c r="GD16" s="347"/>
      <c r="GE16" s="347"/>
      <c r="GF16" s="347"/>
      <c r="GG16" s="347"/>
      <c r="GH16" s="347"/>
      <c r="GI16" s="347"/>
      <c r="GJ16" s="347"/>
      <c r="GK16" s="347"/>
      <c r="GL16" s="347"/>
      <c r="GM16" s="347"/>
      <c r="GN16" s="347"/>
      <c r="GO16" s="347"/>
      <c r="GP16" s="347"/>
      <c r="GQ16" s="347"/>
      <c r="GR16" s="347"/>
      <c r="GS16" s="347"/>
      <c r="GT16" s="347"/>
      <c r="GU16" s="347"/>
      <c r="GV16" s="347"/>
      <c r="GW16" s="347"/>
      <c r="GX16" s="347"/>
      <c r="GY16" s="347"/>
      <c r="GZ16" s="347"/>
      <c r="HA16" s="347"/>
      <c r="HB16" s="347"/>
      <c r="HC16" s="347"/>
      <c r="HD16" s="347"/>
      <c r="HE16" s="347"/>
      <c r="HF16" s="347"/>
      <c r="HG16" s="347"/>
      <c r="HH16" s="347"/>
      <c r="HI16" s="347"/>
      <c r="HJ16" s="347"/>
      <c r="HK16" s="347"/>
      <c r="HL16" s="347"/>
      <c r="HM16" s="347"/>
      <c r="HN16" s="347"/>
      <c r="HO16" s="347"/>
      <c r="HP16" s="347"/>
      <c r="HQ16" s="347"/>
      <c r="HR16" s="347"/>
      <c r="HS16" s="347"/>
      <c r="HT16" s="347"/>
      <c r="HU16" s="347"/>
      <c r="HV16" s="347"/>
      <c r="HW16" s="347"/>
      <c r="HX16" s="347"/>
      <c r="HY16" s="347"/>
      <c r="HZ16" s="347"/>
      <c r="IA16" s="347"/>
      <c r="IB16" s="347"/>
      <c r="IC16" s="347"/>
      <c r="ID16" s="347"/>
      <c r="IE16" s="347"/>
      <c r="IF16" s="347"/>
      <c r="IG16" s="347"/>
      <c r="IH16" s="347"/>
      <c r="II16" s="347"/>
      <c r="IJ16" s="347"/>
      <c r="IK16" s="347"/>
      <c r="IL16" s="347"/>
      <c r="IM16" s="347"/>
      <c r="IN16" s="347"/>
      <c r="IO16" s="347"/>
      <c r="IP16" s="347"/>
      <c r="IQ16" s="347"/>
      <c r="IR16" s="347"/>
      <c r="IS16" s="347"/>
      <c r="IT16" s="347"/>
      <c r="IU16" s="347"/>
      <c r="IV16" s="331"/>
    </row>
    <row r="17" s="93" customFormat="1" spans="1:256">
      <c r="A17" s="136"/>
      <c r="B17" s="135"/>
      <c r="C17" s="145"/>
      <c r="D17" s="136"/>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47"/>
      <c r="AL17" s="347"/>
      <c r="AM17" s="347"/>
      <c r="AN17" s="347"/>
      <c r="AO17" s="347"/>
      <c r="AP17" s="347"/>
      <c r="AQ17" s="347"/>
      <c r="AR17" s="347"/>
      <c r="AS17" s="347"/>
      <c r="AT17" s="347"/>
      <c r="AU17" s="347"/>
      <c r="AV17" s="347"/>
      <c r="AW17" s="347"/>
      <c r="AX17" s="347"/>
      <c r="AY17" s="347"/>
      <c r="AZ17" s="347"/>
      <c r="BA17" s="347"/>
      <c r="BB17" s="347"/>
      <c r="BC17" s="347"/>
      <c r="BD17" s="347"/>
      <c r="BE17" s="347"/>
      <c r="BF17" s="347"/>
      <c r="BG17" s="347"/>
      <c r="BH17" s="347"/>
      <c r="BI17" s="347"/>
      <c r="BJ17" s="347"/>
      <c r="BK17" s="347"/>
      <c r="BL17" s="347"/>
      <c r="BM17" s="347"/>
      <c r="BN17" s="347"/>
      <c r="BO17" s="347"/>
      <c r="BP17" s="347"/>
      <c r="BQ17" s="347"/>
      <c r="BR17" s="347"/>
      <c r="BS17" s="347"/>
      <c r="BT17" s="347"/>
      <c r="BU17" s="347"/>
      <c r="BV17" s="347"/>
      <c r="BW17" s="347"/>
      <c r="BX17" s="347"/>
      <c r="BY17" s="347"/>
      <c r="BZ17" s="347"/>
      <c r="CA17" s="347"/>
      <c r="CB17" s="347"/>
      <c r="CC17" s="347"/>
      <c r="CD17" s="347"/>
      <c r="CE17" s="347"/>
      <c r="CF17" s="347"/>
      <c r="CG17" s="347"/>
      <c r="CH17" s="347"/>
      <c r="CI17" s="347"/>
      <c r="CJ17" s="347"/>
      <c r="CK17" s="347"/>
      <c r="CL17" s="347"/>
      <c r="CM17" s="347"/>
      <c r="CN17" s="347"/>
      <c r="CO17" s="347"/>
      <c r="CP17" s="347"/>
      <c r="CQ17" s="347"/>
      <c r="CR17" s="347"/>
      <c r="CS17" s="347"/>
      <c r="CT17" s="347"/>
      <c r="CU17" s="347"/>
      <c r="CV17" s="347"/>
      <c r="CW17" s="347"/>
      <c r="CX17" s="347"/>
      <c r="CY17" s="347"/>
      <c r="CZ17" s="347"/>
      <c r="DA17" s="347"/>
      <c r="DB17" s="347"/>
      <c r="DC17" s="347"/>
      <c r="DD17" s="347"/>
      <c r="DE17" s="347"/>
      <c r="DF17" s="347"/>
      <c r="DG17" s="347"/>
      <c r="DH17" s="347"/>
      <c r="DI17" s="347"/>
      <c r="DJ17" s="347"/>
      <c r="DK17" s="347"/>
      <c r="DL17" s="347"/>
      <c r="DM17" s="347"/>
      <c r="DN17" s="347"/>
      <c r="DO17" s="347"/>
      <c r="DP17" s="347"/>
      <c r="DQ17" s="347"/>
      <c r="DR17" s="347"/>
      <c r="DS17" s="347"/>
      <c r="DT17" s="347"/>
      <c r="DU17" s="347"/>
      <c r="DV17" s="347"/>
      <c r="DW17" s="347"/>
      <c r="DX17" s="347"/>
      <c r="DY17" s="347"/>
      <c r="DZ17" s="347"/>
      <c r="EA17" s="347"/>
      <c r="EB17" s="347"/>
      <c r="EC17" s="347"/>
      <c r="ED17" s="347"/>
      <c r="EE17" s="347"/>
      <c r="EF17" s="347"/>
      <c r="EG17" s="347"/>
      <c r="EH17" s="347"/>
      <c r="EI17" s="347"/>
      <c r="EJ17" s="347"/>
      <c r="EK17" s="347"/>
      <c r="EL17" s="347"/>
      <c r="EM17" s="347"/>
      <c r="EN17" s="347"/>
      <c r="EO17" s="347"/>
      <c r="EP17" s="347"/>
      <c r="EQ17" s="347"/>
      <c r="ER17" s="347"/>
      <c r="ES17" s="347"/>
      <c r="ET17" s="347"/>
      <c r="EU17" s="347"/>
      <c r="EV17" s="347"/>
      <c r="EW17" s="347"/>
      <c r="EX17" s="347"/>
      <c r="EY17" s="347"/>
      <c r="EZ17" s="347"/>
      <c r="FA17" s="347"/>
      <c r="FB17" s="347"/>
      <c r="FC17" s="347"/>
      <c r="FD17" s="347"/>
      <c r="FE17" s="347"/>
      <c r="FF17" s="347"/>
      <c r="FG17" s="347"/>
      <c r="FH17" s="347"/>
      <c r="FI17" s="347"/>
      <c r="FJ17" s="347"/>
      <c r="FK17" s="347"/>
      <c r="FL17" s="347"/>
      <c r="FM17" s="347"/>
      <c r="FN17" s="347"/>
      <c r="FO17" s="347"/>
      <c r="FP17" s="347"/>
      <c r="FQ17" s="347"/>
      <c r="FR17" s="347"/>
      <c r="FS17" s="347"/>
      <c r="FT17" s="347"/>
      <c r="FU17" s="347"/>
      <c r="FV17" s="347"/>
      <c r="FW17" s="347"/>
      <c r="FX17" s="347"/>
      <c r="FY17" s="347"/>
      <c r="FZ17" s="347"/>
      <c r="GA17" s="347"/>
      <c r="GB17" s="347"/>
      <c r="GC17" s="347"/>
      <c r="GD17" s="347"/>
      <c r="GE17" s="347"/>
      <c r="GF17" s="347"/>
      <c r="GG17" s="347"/>
      <c r="GH17" s="347"/>
      <c r="GI17" s="347"/>
      <c r="GJ17" s="347"/>
      <c r="GK17" s="347"/>
      <c r="GL17" s="347"/>
      <c r="GM17" s="347"/>
      <c r="GN17" s="347"/>
      <c r="GO17" s="347"/>
      <c r="GP17" s="347"/>
      <c r="GQ17" s="347"/>
      <c r="GR17" s="347"/>
      <c r="GS17" s="347"/>
      <c r="GT17" s="347"/>
      <c r="GU17" s="347"/>
      <c r="GV17" s="347"/>
      <c r="GW17" s="347"/>
      <c r="GX17" s="347"/>
      <c r="GY17" s="347"/>
      <c r="GZ17" s="347"/>
      <c r="HA17" s="347"/>
      <c r="HB17" s="347"/>
      <c r="HC17" s="347"/>
      <c r="HD17" s="347"/>
      <c r="HE17" s="347"/>
      <c r="HF17" s="347"/>
      <c r="HG17" s="347"/>
      <c r="HH17" s="347"/>
      <c r="HI17" s="347"/>
      <c r="HJ17" s="347"/>
      <c r="HK17" s="347"/>
      <c r="HL17" s="347"/>
      <c r="HM17" s="347"/>
      <c r="HN17" s="347"/>
      <c r="HO17" s="347"/>
      <c r="HP17" s="347"/>
      <c r="HQ17" s="347"/>
      <c r="HR17" s="347"/>
      <c r="HS17" s="347"/>
      <c r="HT17" s="347"/>
      <c r="HU17" s="347"/>
      <c r="HV17" s="347"/>
      <c r="HW17" s="347"/>
      <c r="HX17" s="347"/>
      <c r="HY17" s="347"/>
      <c r="HZ17" s="347"/>
      <c r="IA17" s="347"/>
      <c r="IB17" s="347"/>
      <c r="IC17" s="347"/>
      <c r="ID17" s="347"/>
      <c r="IE17" s="347"/>
      <c r="IF17" s="347"/>
      <c r="IG17" s="347"/>
      <c r="IH17" s="347"/>
      <c r="II17" s="347"/>
      <c r="IJ17" s="347"/>
      <c r="IK17" s="347"/>
      <c r="IL17" s="347"/>
      <c r="IM17" s="347"/>
      <c r="IN17" s="347"/>
      <c r="IO17" s="347"/>
      <c r="IP17" s="347"/>
      <c r="IQ17" s="347"/>
      <c r="IR17" s="347"/>
      <c r="IS17" s="347"/>
      <c r="IT17" s="347"/>
      <c r="IU17" s="347"/>
      <c r="IV17" s="331"/>
    </row>
    <row r="18" s="93" customFormat="1" spans="1:256">
      <c r="A18" s="355" t="s">
        <v>531</v>
      </c>
      <c r="B18" s="142" t="s">
        <v>1138</v>
      </c>
      <c r="C18" s="353" t="s">
        <v>1158</v>
      </c>
      <c r="D18" s="356">
        <f>[1]资产负债表!B37</f>
        <v>0</v>
      </c>
      <c r="E18" s="347"/>
      <c r="F18" s="347"/>
      <c r="G18" s="347"/>
      <c r="H18" s="347"/>
      <c r="I18" s="347"/>
      <c r="J18" s="347"/>
      <c r="K18" s="347"/>
      <c r="L18" s="347"/>
      <c r="M18" s="347"/>
      <c r="N18" s="347"/>
      <c r="O18" s="347"/>
      <c r="P18" s="347"/>
      <c r="Q18" s="347"/>
      <c r="R18" s="347"/>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47"/>
      <c r="AS18" s="347"/>
      <c r="AT18" s="347"/>
      <c r="AU18" s="347"/>
      <c r="AV18" s="347"/>
      <c r="AW18" s="347"/>
      <c r="AX18" s="347"/>
      <c r="AY18" s="347"/>
      <c r="AZ18" s="347"/>
      <c r="BA18" s="347"/>
      <c r="BB18" s="347"/>
      <c r="BC18" s="347"/>
      <c r="BD18" s="347"/>
      <c r="BE18" s="347"/>
      <c r="BF18" s="347"/>
      <c r="BG18" s="347"/>
      <c r="BH18" s="347"/>
      <c r="BI18" s="347"/>
      <c r="BJ18" s="347"/>
      <c r="BK18" s="347"/>
      <c r="BL18" s="347"/>
      <c r="BM18" s="347"/>
      <c r="BN18" s="347"/>
      <c r="BO18" s="347"/>
      <c r="BP18" s="347"/>
      <c r="BQ18" s="347"/>
      <c r="BR18" s="347"/>
      <c r="BS18" s="347"/>
      <c r="BT18" s="347"/>
      <c r="BU18" s="347"/>
      <c r="BV18" s="347"/>
      <c r="BW18" s="347"/>
      <c r="BX18" s="347"/>
      <c r="BY18" s="347"/>
      <c r="BZ18" s="347"/>
      <c r="CA18" s="347"/>
      <c r="CB18" s="347"/>
      <c r="CC18" s="347"/>
      <c r="CD18" s="347"/>
      <c r="CE18" s="347"/>
      <c r="CF18" s="347"/>
      <c r="CG18" s="347"/>
      <c r="CH18" s="347"/>
      <c r="CI18" s="347"/>
      <c r="CJ18" s="347"/>
      <c r="CK18" s="347"/>
      <c r="CL18" s="347"/>
      <c r="CM18" s="347"/>
      <c r="CN18" s="347"/>
      <c r="CO18" s="347"/>
      <c r="CP18" s="347"/>
      <c r="CQ18" s="347"/>
      <c r="CR18" s="347"/>
      <c r="CS18" s="347"/>
      <c r="CT18" s="347"/>
      <c r="CU18" s="347"/>
      <c r="CV18" s="347"/>
      <c r="CW18" s="347"/>
      <c r="CX18" s="347"/>
      <c r="CY18" s="347"/>
      <c r="CZ18" s="347"/>
      <c r="DA18" s="347"/>
      <c r="DB18" s="347"/>
      <c r="DC18" s="347"/>
      <c r="DD18" s="347"/>
      <c r="DE18" s="347"/>
      <c r="DF18" s="347"/>
      <c r="DG18" s="347"/>
      <c r="DH18" s="347"/>
      <c r="DI18" s="347"/>
      <c r="DJ18" s="347"/>
      <c r="DK18" s="347"/>
      <c r="DL18" s="347"/>
      <c r="DM18" s="347"/>
      <c r="DN18" s="347"/>
      <c r="DO18" s="347"/>
      <c r="DP18" s="347"/>
      <c r="DQ18" s="347"/>
      <c r="DR18" s="347"/>
      <c r="DS18" s="347"/>
      <c r="DT18" s="347"/>
      <c r="DU18" s="347"/>
      <c r="DV18" s="347"/>
      <c r="DW18" s="347"/>
      <c r="DX18" s="347"/>
      <c r="DY18" s="347"/>
      <c r="DZ18" s="347"/>
      <c r="EA18" s="347"/>
      <c r="EB18" s="347"/>
      <c r="EC18" s="347"/>
      <c r="ED18" s="347"/>
      <c r="EE18" s="347"/>
      <c r="EF18" s="347"/>
      <c r="EG18" s="347"/>
      <c r="EH18" s="347"/>
      <c r="EI18" s="347"/>
      <c r="EJ18" s="347"/>
      <c r="EK18" s="347"/>
      <c r="EL18" s="347"/>
      <c r="EM18" s="347"/>
      <c r="EN18" s="347"/>
      <c r="EO18" s="347"/>
      <c r="EP18" s="347"/>
      <c r="EQ18" s="347"/>
      <c r="ER18" s="347"/>
      <c r="ES18" s="347"/>
      <c r="ET18" s="347"/>
      <c r="EU18" s="347"/>
      <c r="EV18" s="347"/>
      <c r="EW18" s="347"/>
      <c r="EX18" s="347"/>
      <c r="EY18" s="347"/>
      <c r="EZ18" s="347"/>
      <c r="FA18" s="347"/>
      <c r="FB18" s="347"/>
      <c r="FC18" s="347"/>
      <c r="FD18" s="347"/>
      <c r="FE18" s="347"/>
      <c r="FF18" s="347"/>
      <c r="FG18" s="347"/>
      <c r="FH18" s="347"/>
      <c r="FI18" s="347"/>
      <c r="FJ18" s="347"/>
      <c r="FK18" s="347"/>
      <c r="FL18" s="347"/>
      <c r="FM18" s="347"/>
      <c r="FN18" s="347"/>
      <c r="FO18" s="347"/>
      <c r="FP18" s="347"/>
      <c r="FQ18" s="347"/>
      <c r="FR18" s="347"/>
      <c r="FS18" s="347"/>
      <c r="FT18" s="347"/>
      <c r="FU18" s="347"/>
      <c r="FV18" s="347"/>
      <c r="FW18" s="347"/>
      <c r="FX18" s="347"/>
      <c r="FY18" s="347"/>
      <c r="FZ18" s="347"/>
      <c r="GA18" s="347"/>
      <c r="GB18" s="347"/>
      <c r="GC18" s="347"/>
      <c r="GD18" s="347"/>
      <c r="GE18" s="347"/>
      <c r="GF18" s="347"/>
      <c r="GG18" s="347"/>
      <c r="GH18" s="347"/>
      <c r="GI18" s="347"/>
      <c r="GJ18" s="347"/>
      <c r="GK18" s="347"/>
      <c r="GL18" s="347"/>
      <c r="GM18" s="347"/>
      <c r="GN18" s="347"/>
      <c r="GO18" s="347"/>
      <c r="GP18" s="347"/>
      <c r="GQ18" s="347"/>
      <c r="GR18" s="347"/>
      <c r="GS18" s="347"/>
      <c r="GT18" s="347"/>
      <c r="GU18" s="347"/>
      <c r="GV18" s="347"/>
      <c r="GW18" s="347"/>
      <c r="GX18" s="347"/>
      <c r="GY18" s="347"/>
      <c r="GZ18" s="347"/>
      <c r="HA18" s="347"/>
      <c r="HB18" s="347"/>
      <c r="HC18" s="347"/>
      <c r="HD18" s="347"/>
      <c r="HE18" s="347"/>
      <c r="HF18" s="347"/>
      <c r="HG18" s="347"/>
      <c r="HH18" s="347"/>
      <c r="HI18" s="347"/>
      <c r="HJ18" s="347"/>
      <c r="HK18" s="347"/>
      <c r="HL18" s="347"/>
      <c r="HM18" s="347"/>
      <c r="HN18" s="347"/>
      <c r="HO18" s="347"/>
      <c r="HP18" s="347"/>
      <c r="HQ18" s="347"/>
      <c r="HR18" s="347"/>
      <c r="HS18" s="347"/>
      <c r="HT18" s="347"/>
      <c r="HU18" s="347"/>
      <c r="HV18" s="347"/>
      <c r="HW18" s="347"/>
      <c r="HX18" s="347"/>
      <c r="HY18" s="347"/>
      <c r="HZ18" s="347"/>
      <c r="IA18" s="347"/>
      <c r="IB18" s="347"/>
      <c r="IC18" s="347"/>
      <c r="ID18" s="347"/>
      <c r="IE18" s="347"/>
      <c r="IF18" s="347"/>
      <c r="IG18" s="347"/>
      <c r="IH18" s="347"/>
      <c r="II18" s="347"/>
      <c r="IJ18" s="347"/>
      <c r="IK18" s="347"/>
      <c r="IL18" s="347"/>
      <c r="IM18" s="347"/>
      <c r="IN18" s="347"/>
      <c r="IO18" s="347"/>
      <c r="IP18" s="347"/>
      <c r="IQ18" s="347"/>
      <c r="IR18" s="347"/>
      <c r="IS18" s="347"/>
      <c r="IT18" s="347"/>
      <c r="IU18" s="347"/>
      <c r="IV18" s="331"/>
    </row>
    <row r="19" s="93" customFormat="1" spans="1:256">
      <c r="A19" s="355" t="s">
        <v>1159</v>
      </c>
      <c r="B19" s="142" t="s">
        <v>1138</v>
      </c>
      <c r="C19" s="353" t="s">
        <v>1160</v>
      </c>
      <c r="D19" s="137"/>
      <c r="E19" s="347"/>
      <c r="F19" s="347"/>
      <c r="G19" s="347"/>
      <c r="H19" s="347"/>
      <c r="I19" s="347"/>
      <c r="J19" s="347"/>
      <c r="K19" s="347"/>
      <c r="L19" s="347"/>
      <c r="M19" s="347"/>
      <c r="N19" s="347"/>
      <c r="O19" s="347"/>
      <c r="P19" s="347"/>
      <c r="Q19" s="347"/>
      <c r="R19" s="347"/>
      <c r="S19" s="347"/>
      <c r="T19" s="347"/>
      <c r="U19" s="347"/>
      <c r="V19" s="347"/>
      <c r="W19" s="347"/>
      <c r="X19" s="347"/>
      <c r="Y19" s="347"/>
      <c r="Z19" s="347"/>
      <c r="AA19" s="347"/>
      <c r="AB19" s="347"/>
      <c r="AC19" s="347"/>
      <c r="AD19" s="347"/>
      <c r="AE19" s="347"/>
      <c r="AF19" s="347"/>
      <c r="AG19" s="347"/>
      <c r="AH19" s="347"/>
      <c r="AI19" s="347"/>
      <c r="AJ19" s="347"/>
      <c r="AK19" s="347"/>
      <c r="AL19" s="347"/>
      <c r="AM19" s="347"/>
      <c r="AN19" s="347"/>
      <c r="AO19" s="347"/>
      <c r="AP19" s="347"/>
      <c r="AQ19" s="347"/>
      <c r="AR19" s="347"/>
      <c r="AS19" s="347"/>
      <c r="AT19" s="347"/>
      <c r="AU19" s="347"/>
      <c r="AV19" s="347"/>
      <c r="AW19" s="347"/>
      <c r="AX19" s="347"/>
      <c r="AY19" s="347"/>
      <c r="AZ19" s="347"/>
      <c r="BA19" s="347"/>
      <c r="BB19" s="347"/>
      <c r="BC19" s="347"/>
      <c r="BD19" s="347"/>
      <c r="BE19" s="347"/>
      <c r="BF19" s="347"/>
      <c r="BG19" s="347"/>
      <c r="BH19" s="347"/>
      <c r="BI19" s="347"/>
      <c r="BJ19" s="347"/>
      <c r="BK19" s="347"/>
      <c r="BL19" s="347"/>
      <c r="BM19" s="347"/>
      <c r="BN19" s="347"/>
      <c r="BO19" s="347"/>
      <c r="BP19" s="347"/>
      <c r="BQ19" s="347"/>
      <c r="BR19" s="347"/>
      <c r="BS19" s="347"/>
      <c r="BT19" s="347"/>
      <c r="BU19" s="347"/>
      <c r="BV19" s="347"/>
      <c r="BW19" s="347"/>
      <c r="BX19" s="347"/>
      <c r="BY19" s="347"/>
      <c r="BZ19" s="347"/>
      <c r="CA19" s="347"/>
      <c r="CB19" s="347"/>
      <c r="CC19" s="347"/>
      <c r="CD19" s="347"/>
      <c r="CE19" s="347"/>
      <c r="CF19" s="347"/>
      <c r="CG19" s="347"/>
      <c r="CH19" s="347"/>
      <c r="CI19" s="347"/>
      <c r="CJ19" s="347"/>
      <c r="CK19" s="347"/>
      <c r="CL19" s="347"/>
      <c r="CM19" s="347"/>
      <c r="CN19" s="347"/>
      <c r="CO19" s="347"/>
      <c r="CP19" s="347"/>
      <c r="CQ19" s="347"/>
      <c r="CR19" s="347"/>
      <c r="CS19" s="347"/>
      <c r="CT19" s="347"/>
      <c r="CU19" s="347"/>
      <c r="CV19" s="347"/>
      <c r="CW19" s="347"/>
      <c r="CX19" s="347"/>
      <c r="CY19" s="347"/>
      <c r="CZ19" s="347"/>
      <c r="DA19" s="347"/>
      <c r="DB19" s="347"/>
      <c r="DC19" s="347"/>
      <c r="DD19" s="347"/>
      <c r="DE19" s="347"/>
      <c r="DF19" s="347"/>
      <c r="DG19" s="347"/>
      <c r="DH19" s="347"/>
      <c r="DI19" s="347"/>
      <c r="DJ19" s="347"/>
      <c r="DK19" s="347"/>
      <c r="DL19" s="347"/>
      <c r="DM19" s="347"/>
      <c r="DN19" s="347"/>
      <c r="DO19" s="347"/>
      <c r="DP19" s="347"/>
      <c r="DQ19" s="347"/>
      <c r="DR19" s="347"/>
      <c r="DS19" s="347"/>
      <c r="DT19" s="347"/>
      <c r="DU19" s="347"/>
      <c r="DV19" s="347"/>
      <c r="DW19" s="347"/>
      <c r="DX19" s="347"/>
      <c r="DY19" s="347"/>
      <c r="DZ19" s="347"/>
      <c r="EA19" s="347"/>
      <c r="EB19" s="347"/>
      <c r="EC19" s="347"/>
      <c r="ED19" s="347"/>
      <c r="EE19" s="347"/>
      <c r="EF19" s="347"/>
      <c r="EG19" s="347"/>
      <c r="EH19" s="347"/>
      <c r="EI19" s="347"/>
      <c r="EJ19" s="347"/>
      <c r="EK19" s="347"/>
      <c r="EL19" s="347"/>
      <c r="EM19" s="347"/>
      <c r="EN19" s="347"/>
      <c r="EO19" s="347"/>
      <c r="EP19" s="347"/>
      <c r="EQ19" s="347"/>
      <c r="ER19" s="347"/>
      <c r="ES19" s="347"/>
      <c r="ET19" s="347"/>
      <c r="EU19" s="347"/>
      <c r="EV19" s="347"/>
      <c r="EW19" s="347"/>
      <c r="EX19" s="347"/>
      <c r="EY19" s="347"/>
      <c r="EZ19" s="347"/>
      <c r="FA19" s="347"/>
      <c r="FB19" s="347"/>
      <c r="FC19" s="347"/>
      <c r="FD19" s="347"/>
      <c r="FE19" s="347"/>
      <c r="FF19" s="347"/>
      <c r="FG19" s="347"/>
      <c r="FH19" s="347"/>
      <c r="FI19" s="347"/>
      <c r="FJ19" s="347"/>
      <c r="FK19" s="347"/>
      <c r="FL19" s="347"/>
      <c r="FM19" s="347"/>
      <c r="FN19" s="347"/>
      <c r="FO19" s="347"/>
      <c r="FP19" s="347"/>
      <c r="FQ19" s="347"/>
      <c r="FR19" s="347"/>
      <c r="FS19" s="347"/>
      <c r="FT19" s="347"/>
      <c r="FU19" s="347"/>
      <c r="FV19" s="347"/>
      <c r="FW19" s="347"/>
      <c r="FX19" s="347"/>
      <c r="FY19" s="347"/>
      <c r="FZ19" s="347"/>
      <c r="GA19" s="347"/>
      <c r="GB19" s="347"/>
      <c r="GC19" s="347"/>
      <c r="GD19" s="347"/>
      <c r="GE19" s="347"/>
      <c r="GF19" s="347"/>
      <c r="GG19" s="347"/>
      <c r="GH19" s="347"/>
      <c r="GI19" s="347"/>
      <c r="GJ19" s="347"/>
      <c r="GK19" s="347"/>
      <c r="GL19" s="347"/>
      <c r="GM19" s="347"/>
      <c r="GN19" s="347"/>
      <c r="GO19" s="347"/>
      <c r="GP19" s="347"/>
      <c r="GQ19" s="347"/>
      <c r="GR19" s="347"/>
      <c r="GS19" s="347"/>
      <c r="GT19" s="347"/>
      <c r="GU19" s="347"/>
      <c r="GV19" s="347"/>
      <c r="GW19" s="347"/>
      <c r="GX19" s="347"/>
      <c r="GY19" s="347"/>
      <c r="GZ19" s="347"/>
      <c r="HA19" s="347"/>
      <c r="HB19" s="347"/>
      <c r="HC19" s="347"/>
      <c r="HD19" s="347"/>
      <c r="HE19" s="347"/>
      <c r="HF19" s="347"/>
      <c r="HG19" s="347"/>
      <c r="HH19" s="347"/>
      <c r="HI19" s="347"/>
      <c r="HJ19" s="347"/>
      <c r="HK19" s="347"/>
      <c r="HL19" s="347"/>
      <c r="HM19" s="347"/>
      <c r="HN19" s="347"/>
      <c r="HO19" s="347"/>
      <c r="HP19" s="347"/>
      <c r="HQ19" s="347"/>
      <c r="HR19" s="347"/>
      <c r="HS19" s="347"/>
      <c r="HT19" s="347"/>
      <c r="HU19" s="347"/>
      <c r="HV19" s="347"/>
      <c r="HW19" s="347"/>
      <c r="HX19" s="347"/>
      <c r="HY19" s="347"/>
      <c r="HZ19" s="347"/>
      <c r="IA19" s="347"/>
      <c r="IB19" s="347"/>
      <c r="IC19" s="347"/>
      <c r="ID19" s="347"/>
      <c r="IE19" s="347"/>
      <c r="IF19" s="347"/>
      <c r="IG19" s="347"/>
      <c r="IH19" s="347"/>
      <c r="II19" s="347"/>
      <c r="IJ19" s="347"/>
      <c r="IK19" s="347"/>
      <c r="IL19" s="347"/>
      <c r="IM19" s="347"/>
      <c r="IN19" s="347"/>
      <c r="IO19" s="347"/>
      <c r="IP19" s="347"/>
      <c r="IQ19" s="347"/>
      <c r="IR19" s="347"/>
      <c r="IS19" s="347"/>
      <c r="IT19" s="347"/>
      <c r="IU19" s="347"/>
      <c r="IV19" s="331"/>
    </row>
    <row r="20" s="93" customFormat="1" spans="1:256">
      <c r="A20" s="355" t="s">
        <v>534</v>
      </c>
      <c r="B20" s="142" t="s">
        <v>1138</v>
      </c>
      <c r="C20" s="353" t="s">
        <v>1161</v>
      </c>
      <c r="D20" s="356">
        <f>[1]资产负债表!E28</f>
        <v>0</v>
      </c>
      <c r="E20" s="347"/>
      <c r="F20" s="347"/>
      <c r="G20" s="347"/>
      <c r="H20" s="347"/>
      <c r="I20" s="347"/>
      <c r="J20" s="347"/>
      <c r="K20" s="347"/>
      <c r="L20" s="347"/>
      <c r="M20" s="347"/>
      <c r="N20" s="347"/>
      <c r="O20" s="347"/>
      <c r="P20" s="347"/>
      <c r="Q20" s="347"/>
      <c r="R20" s="347"/>
      <c r="S20" s="347"/>
      <c r="T20" s="347"/>
      <c r="U20" s="347"/>
      <c r="V20" s="347"/>
      <c r="W20" s="347"/>
      <c r="X20" s="347"/>
      <c r="Y20" s="347"/>
      <c r="Z20" s="347"/>
      <c r="AA20" s="347"/>
      <c r="AB20" s="347"/>
      <c r="AC20" s="347"/>
      <c r="AD20" s="347"/>
      <c r="AE20" s="347"/>
      <c r="AF20" s="347"/>
      <c r="AG20" s="347"/>
      <c r="AH20" s="347"/>
      <c r="AI20" s="347"/>
      <c r="AJ20" s="347"/>
      <c r="AK20" s="347"/>
      <c r="AL20" s="347"/>
      <c r="AM20" s="347"/>
      <c r="AN20" s="347"/>
      <c r="AO20" s="347"/>
      <c r="AP20" s="347"/>
      <c r="AQ20" s="347"/>
      <c r="AR20" s="347"/>
      <c r="AS20" s="347"/>
      <c r="AT20" s="347"/>
      <c r="AU20" s="347"/>
      <c r="AV20" s="347"/>
      <c r="AW20" s="347"/>
      <c r="AX20" s="347"/>
      <c r="AY20" s="347"/>
      <c r="AZ20" s="347"/>
      <c r="BA20" s="347"/>
      <c r="BB20" s="347"/>
      <c r="BC20" s="347"/>
      <c r="BD20" s="347"/>
      <c r="BE20" s="347"/>
      <c r="BF20" s="347"/>
      <c r="BG20" s="347"/>
      <c r="BH20" s="347"/>
      <c r="BI20" s="347"/>
      <c r="BJ20" s="347"/>
      <c r="BK20" s="347"/>
      <c r="BL20" s="347"/>
      <c r="BM20" s="347"/>
      <c r="BN20" s="347"/>
      <c r="BO20" s="347"/>
      <c r="BP20" s="347"/>
      <c r="BQ20" s="347"/>
      <c r="BR20" s="347"/>
      <c r="BS20" s="347"/>
      <c r="BT20" s="347"/>
      <c r="BU20" s="347"/>
      <c r="BV20" s="347"/>
      <c r="BW20" s="347"/>
      <c r="BX20" s="347"/>
      <c r="BY20" s="347"/>
      <c r="BZ20" s="347"/>
      <c r="CA20" s="347"/>
      <c r="CB20" s="347"/>
      <c r="CC20" s="347"/>
      <c r="CD20" s="347"/>
      <c r="CE20" s="347"/>
      <c r="CF20" s="347"/>
      <c r="CG20" s="347"/>
      <c r="CH20" s="347"/>
      <c r="CI20" s="347"/>
      <c r="CJ20" s="347"/>
      <c r="CK20" s="347"/>
      <c r="CL20" s="347"/>
      <c r="CM20" s="347"/>
      <c r="CN20" s="347"/>
      <c r="CO20" s="347"/>
      <c r="CP20" s="347"/>
      <c r="CQ20" s="347"/>
      <c r="CR20" s="347"/>
      <c r="CS20" s="347"/>
      <c r="CT20" s="347"/>
      <c r="CU20" s="347"/>
      <c r="CV20" s="347"/>
      <c r="CW20" s="347"/>
      <c r="CX20" s="347"/>
      <c r="CY20" s="347"/>
      <c r="CZ20" s="347"/>
      <c r="DA20" s="347"/>
      <c r="DB20" s="347"/>
      <c r="DC20" s="347"/>
      <c r="DD20" s="347"/>
      <c r="DE20" s="347"/>
      <c r="DF20" s="347"/>
      <c r="DG20" s="347"/>
      <c r="DH20" s="347"/>
      <c r="DI20" s="347"/>
      <c r="DJ20" s="347"/>
      <c r="DK20" s="347"/>
      <c r="DL20" s="347"/>
      <c r="DM20" s="347"/>
      <c r="DN20" s="347"/>
      <c r="DO20" s="347"/>
      <c r="DP20" s="347"/>
      <c r="DQ20" s="347"/>
      <c r="DR20" s="347"/>
      <c r="DS20" s="347"/>
      <c r="DT20" s="347"/>
      <c r="DU20" s="347"/>
      <c r="DV20" s="347"/>
      <c r="DW20" s="347"/>
      <c r="DX20" s="347"/>
      <c r="DY20" s="347"/>
      <c r="DZ20" s="347"/>
      <c r="EA20" s="347"/>
      <c r="EB20" s="347"/>
      <c r="EC20" s="347"/>
      <c r="ED20" s="347"/>
      <c r="EE20" s="347"/>
      <c r="EF20" s="347"/>
      <c r="EG20" s="347"/>
      <c r="EH20" s="347"/>
      <c r="EI20" s="347"/>
      <c r="EJ20" s="347"/>
      <c r="EK20" s="347"/>
      <c r="EL20" s="347"/>
      <c r="EM20" s="347"/>
      <c r="EN20" s="347"/>
      <c r="EO20" s="347"/>
      <c r="EP20" s="347"/>
      <c r="EQ20" s="347"/>
      <c r="ER20" s="347"/>
      <c r="ES20" s="347"/>
      <c r="ET20" s="347"/>
      <c r="EU20" s="347"/>
      <c r="EV20" s="347"/>
      <c r="EW20" s="347"/>
      <c r="EX20" s="347"/>
      <c r="EY20" s="347"/>
      <c r="EZ20" s="347"/>
      <c r="FA20" s="347"/>
      <c r="FB20" s="347"/>
      <c r="FC20" s="347"/>
      <c r="FD20" s="347"/>
      <c r="FE20" s="347"/>
      <c r="FF20" s="347"/>
      <c r="FG20" s="347"/>
      <c r="FH20" s="347"/>
      <c r="FI20" s="347"/>
      <c r="FJ20" s="347"/>
      <c r="FK20" s="347"/>
      <c r="FL20" s="347"/>
      <c r="FM20" s="347"/>
      <c r="FN20" s="347"/>
      <c r="FO20" s="347"/>
      <c r="FP20" s="347"/>
      <c r="FQ20" s="347"/>
      <c r="FR20" s="347"/>
      <c r="FS20" s="347"/>
      <c r="FT20" s="347"/>
      <c r="FU20" s="347"/>
      <c r="FV20" s="347"/>
      <c r="FW20" s="347"/>
      <c r="FX20" s="347"/>
      <c r="FY20" s="347"/>
      <c r="FZ20" s="347"/>
      <c r="GA20" s="347"/>
      <c r="GB20" s="347"/>
      <c r="GC20" s="347"/>
      <c r="GD20" s="347"/>
      <c r="GE20" s="347"/>
      <c r="GF20" s="347"/>
      <c r="GG20" s="347"/>
      <c r="GH20" s="347"/>
      <c r="GI20" s="347"/>
      <c r="GJ20" s="347"/>
      <c r="GK20" s="347"/>
      <c r="GL20" s="347"/>
      <c r="GM20" s="347"/>
      <c r="GN20" s="347"/>
      <c r="GO20" s="347"/>
      <c r="GP20" s="347"/>
      <c r="GQ20" s="347"/>
      <c r="GR20" s="347"/>
      <c r="GS20" s="347"/>
      <c r="GT20" s="347"/>
      <c r="GU20" s="347"/>
      <c r="GV20" s="347"/>
      <c r="GW20" s="347"/>
      <c r="GX20" s="347"/>
      <c r="GY20" s="347"/>
      <c r="GZ20" s="347"/>
      <c r="HA20" s="347"/>
      <c r="HB20" s="347"/>
      <c r="HC20" s="347"/>
      <c r="HD20" s="347"/>
      <c r="HE20" s="347"/>
      <c r="HF20" s="347"/>
      <c r="HG20" s="347"/>
      <c r="HH20" s="347"/>
      <c r="HI20" s="347"/>
      <c r="HJ20" s="347"/>
      <c r="HK20" s="347"/>
      <c r="HL20" s="347"/>
      <c r="HM20" s="347"/>
      <c r="HN20" s="347"/>
      <c r="HO20" s="347"/>
      <c r="HP20" s="347"/>
      <c r="HQ20" s="347"/>
      <c r="HR20" s="347"/>
      <c r="HS20" s="347"/>
      <c r="HT20" s="347"/>
      <c r="HU20" s="347"/>
      <c r="HV20" s="347"/>
      <c r="HW20" s="347"/>
      <c r="HX20" s="347"/>
      <c r="HY20" s="347"/>
      <c r="HZ20" s="347"/>
      <c r="IA20" s="347"/>
      <c r="IB20" s="347"/>
      <c r="IC20" s="347"/>
      <c r="ID20" s="347"/>
      <c r="IE20" s="347"/>
      <c r="IF20" s="347"/>
      <c r="IG20" s="347"/>
      <c r="IH20" s="347"/>
      <c r="II20" s="347"/>
      <c r="IJ20" s="347"/>
      <c r="IK20" s="347"/>
      <c r="IL20" s="347"/>
      <c r="IM20" s="347"/>
      <c r="IN20" s="347"/>
      <c r="IO20" s="347"/>
      <c r="IP20" s="347"/>
      <c r="IQ20" s="347"/>
      <c r="IR20" s="347"/>
      <c r="IS20" s="347"/>
      <c r="IT20" s="347"/>
      <c r="IU20" s="347"/>
      <c r="IV20" s="331"/>
    </row>
    <row r="21" s="93" customFormat="1" spans="1:256">
      <c r="A21" s="355" t="s">
        <v>1162</v>
      </c>
      <c r="B21" s="142"/>
      <c r="C21" s="353" t="s">
        <v>1163</v>
      </c>
      <c r="D21" s="357" t="e">
        <f>D19/D18</f>
        <v>#DIV/0!</v>
      </c>
      <c r="E21" s="347"/>
      <c r="F21" s="347"/>
      <c r="G21" s="347"/>
      <c r="H21" s="347"/>
      <c r="I21" s="347"/>
      <c r="J21" s="347"/>
      <c r="K21" s="347"/>
      <c r="L21" s="347"/>
      <c r="M21" s="347"/>
      <c r="N21" s="347"/>
      <c r="O21" s="347"/>
      <c r="P21" s="347"/>
      <c r="Q21" s="347"/>
      <c r="R21" s="347"/>
      <c r="S21" s="347"/>
      <c r="T21" s="347"/>
      <c r="U21" s="347"/>
      <c r="V21" s="347"/>
      <c r="W21" s="347"/>
      <c r="X21" s="347"/>
      <c r="Y21" s="347"/>
      <c r="Z21" s="347"/>
      <c r="AA21" s="347"/>
      <c r="AB21" s="347"/>
      <c r="AC21" s="347"/>
      <c r="AD21" s="347"/>
      <c r="AE21" s="347"/>
      <c r="AF21" s="347"/>
      <c r="AG21" s="347"/>
      <c r="AH21" s="347"/>
      <c r="AI21" s="347"/>
      <c r="AJ21" s="347"/>
      <c r="AK21" s="347"/>
      <c r="AL21" s="347"/>
      <c r="AM21" s="347"/>
      <c r="AN21" s="347"/>
      <c r="AO21" s="347"/>
      <c r="AP21" s="347"/>
      <c r="AQ21" s="347"/>
      <c r="AR21" s="347"/>
      <c r="AS21" s="347"/>
      <c r="AT21" s="347"/>
      <c r="AU21" s="347"/>
      <c r="AV21" s="347"/>
      <c r="AW21" s="347"/>
      <c r="AX21" s="347"/>
      <c r="AY21" s="347"/>
      <c r="AZ21" s="347"/>
      <c r="BA21" s="347"/>
      <c r="BB21" s="347"/>
      <c r="BC21" s="347"/>
      <c r="BD21" s="347"/>
      <c r="BE21" s="347"/>
      <c r="BF21" s="347"/>
      <c r="BG21" s="347"/>
      <c r="BH21" s="347"/>
      <c r="BI21" s="347"/>
      <c r="BJ21" s="347"/>
      <c r="BK21" s="347"/>
      <c r="BL21" s="347"/>
      <c r="BM21" s="347"/>
      <c r="BN21" s="347"/>
      <c r="BO21" s="347"/>
      <c r="BP21" s="347"/>
      <c r="BQ21" s="347"/>
      <c r="BR21" s="347"/>
      <c r="BS21" s="347"/>
      <c r="BT21" s="347"/>
      <c r="BU21" s="347"/>
      <c r="BV21" s="347"/>
      <c r="BW21" s="347"/>
      <c r="BX21" s="347"/>
      <c r="BY21" s="347"/>
      <c r="BZ21" s="347"/>
      <c r="CA21" s="347"/>
      <c r="CB21" s="347"/>
      <c r="CC21" s="347"/>
      <c r="CD21" s="347"/>
      <c r="CE21" s="347"/>
      <c r="CF21" s="347"/>
      <c r="CG21" s="347"/>
      <c r="CH21" s="347"/>
      <c r="CI21" s="347"/>
      <c r="CJ21" s="347"/>
      <c r="CK21" s="347"/>
      <c r="CL21" s="347"/>
      <c r="CM21" s="347"/>
      <c r="CN21" s="347"/>
      <c r="CO21" s="347"/>
      <c r="CP21" s="347"/>
      <c r="CQ21" s="347"/>
      <c r="CR21" s="347"/>
      <c r="CS21" s="347"/>
      <c r="CT21" s="347"/>
      <c r="CU21" s="347"/>
      <c r="CV21" s="347"/>
      <c r="CW21" s="347"/>
      <c r="CX21" s="347"/>
      <c r="CY21" s="347"/>
      <c r="CZ21" s="347"/>
      <c r="DA21" s="347"/>
      <c r="DB21" s="347"/>
      <c r="DC21" s="347"/>
      <c r="DD21" s="347"/>
      <c r="DE21" s="347"/>
      <c r="DF21" s="347"/>
      <c r="DG21" s="347"/>
      <c r="DH21" s="347"/>
      <c r="DI21" s="347"/>
      <c r="DJ21" s="347"/>
      <c r="DK21" s="347"/>
      <c r="DL21" s="347"/>
      <c r="DM21" s="347"/>
      <c r="DN21" s="347"/>
      <c r="DO21" s="347"/>
      <c r="DP21" s="347"/>
      <c r="DQ21" s="347"/>
      <c r="DR21" s="347"/>
      <c r="DS21" s="347"/>
      <c r="DT21" s="347"/>
      <c r="DU21" s="347"/>
      <c r="DV21" s="347"/>
      <c r="DW21" s="347"/>
      <c r="DX21" s="347"/>
      <c r="DY21" s="347"/>
      <c r="DZ21" s="347"/>
      <c r="EA21" s="347"/>
      <c r="EB21" s="347"/>
      <c r="EC21" s="347"/>
      <c r="ED21" s="347"/>
      <c r="EE21" s="347"/>
      <c r="EF21" s="347"/>
      <c r="EG21" s="347"/>
      <c r="EH21" s="347"/>
      <c r="EI21" s="347"/>
      <c r="EJ21" s="347"/>
      <c r="EK21" s="347"/>
      <c r="EL21" s="347"/>
      <c r="EM21" s="347"/>
      <c r="EN21" s="347"/>
      <c r="EO21" s="347"/>
      <c r="EP21" s="347"/>
      <c r="EQ21" s="347"/>
      <c r="ER21" s="347"/>
      <c r="ES21" s="347"/>
      <c r="ET21" s="347"/>
      <c r="EU21" s="347"/>
      <c r="EV21" s="347"/>
      <c r="EW21" s="347"/>
      <c r="EX21" s="347"/>
      <c r="EY21" s="347"/>
      <c r="EZ21" s="347"/>
      <c r="FA21" s="347"/>
      <c r="FB21" s="347"/>
      <c r="FC21" s="347"/>
      <c r="FD21" s="347"/>
      <c r="FE21" s="347"/>
      <c r="FF21" s="347"/>
      <c r="FG21" s="347"/>
      <c r="FH21" s="347"/>
      <c r="FI21" s="347"/>
      <c r="FJ21" s="347"/>
      <c r="FK21" s="347"/>
      <c r="FL21" s="347"/>
      <c r="FM21" s="347"/>
      <c r="FN21" s="347"/>
      <c r="FO21" s="347"/>
      <c r="FP21" s="347"/>
      <c r="FQ21" s="347"/>
      <c r="FR21" s="347"/>
      <c r="FS21" s="347"/>
      <c r="FT21" s="347"/>
      <c r="FU21" s="347"/>
      <c r="FV21" s="347"/>
      <c r="FW21" s="347"/>
      <c r="FX21" s="347"/>
      <c r="FY21" s="347"/>
      <c r="FZ21" s="347"/>
      <c r="GA21" s="347"/>
      <c r="GB21" s="347"/>
      <c r="GC21" s="347"/>
      <c r="GD21" s="347"/>
      <c r="GE21" s="347"/>
      <c r="GF21" s="347"/>
      <c r="GG21" s="347"/>
      <c r="GH21" s="347"/>
      <c r="GI21" s="347"/>
      <c r="GJ21" s="347"/>
      <c r="GK21" s="347"/>
      <c r="GL21" s="347"/>
      <c r="GM21" s="347"/>
      <c r="GN21" s="347"/>
      <c r="GO21" s="347"/>
      <c r="GP21" s="347"/>
      <c r="GQ21" s="347"/>
      <c r="GR21" s="347"/>
      <c r="GS21" s="347"/>
      <c r="GT21" s="347"/>
      <c r="GU21" s="347"/>
      <c r="GV21" s="347"/>
      <c r="GW21" s="347"/>
      <c r="GX21" s="347"/>
      <c r="GY21" s="347"/>
      <c r="GZ21" s="347"/>
      <c r="HA21" s="347"/>
      <c r="HB21" s="347"/>
      <c r="HC21" s="347"/>
      <c r="HD21" s="347"/>
      <c r="HE21" s="347"/>
      <c r="HF21" s="347"/>
      <c r="HG21" s="347"/>
      <c r="HH21" s="347"/>
      <c r="HI21" s="347"/>
      <c r="HJ21" s="347"/>
      <c r="HK21" s="347"/>
      <c r="HL21" s="347"/>
      <c r="HM21" s="347"/>
      <c r="HN21" s="347"/>
      <c r="HO21" s="347"/>
      <c r="HP21" s="347"/>
      <c r="HQ21" s="347"/>
      <c r="HR21" s="347"/>
      <c r="HS21" s="347"/>
      <c r="HT21" s="347"/>
      <c r="HU21" s="347"/>
      <c r="HV21" s="347"/>
      <c r="HW21" s="347"/>
      <c r="HX21" s="347"/>
      <c r="HY21" s="347"/>
      <c r="HZ21" s="347"/>
      <c r="IA21" s="347"/>
      <c r="IB21" s="347"/>
      <c r="IC21" s="347"/>
      <c r="ID21" s="347"/>
      <c r="IE21" s="347"/>
      <c r="IF21" s="347"/>
      <c r="IG21" s="347"/>
      <c r="IH21" s="347"/>
      <c r="II21" s="347"/>
      <c r="IJ21" s="347"/>
      <c r="IK21" s="347"/>
      <c r="IL21" s="347"/>
      <c r="IM21" s="347"/>
      <c r="IN21" s="347"/>
      <c r="IO21" s="347"/>
      <c r="IP21" s="347"/>
      <c r="IQ21" s="347"/>
      <c r="IR21" s="347"/>
      <c r="IS21" s="347"/>
      <c r="IT21" s="347"/>
      <c r="IU21" s="347"/>
      <c r="IV21" s="331"/>
    </row>
    <row r="22" s="93" customFormat="1" spans="1:256">
      <c r="A22" s="355" t="s">
        <v>538</v>
      </c>
      <c r="B22" s="142"/>
      <c r="C22" s="353" t="s">
        <v>1164</v>
      </c>
      <c r="D22" s="357" t="e">
        <f>D20/D18</f>
        <v>#DIV/0!</v>
      </c>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c r="GV22" s="347"/>
      <c r="GW22" s="347"/>
      <c r="GX22" s="347"/>
      <c r="GY22" s="347"/>
      <c r="GZ22" s="347"/>
      <c r="HA22" s="347"/>
      <c r="HB22" s="347"/>
      <c r="HC22" s="347"/>
      <c r="HD22" s="347"/>
      <c r="HE22" s="347"/>
      <c r="HF22" s="347"/>
      <c r="HG22" s="347"/>
      <c r="HH22" s="347"/>
      <c r="HI22" s="347"/>
      <c r="HJ22" s="347"/>
      <c r="HK22" s="347"/>
      <c r="HL22" s="347"/>
      <c r="HM22" s="347"/>
      <c r="HN22" s="347"/>
      <c r="HO22" s="347"/>
      <c r="HP22" s="347"/>
      <c r="HQ22" s="347"/>
      <c r="HR22" s="347"/>
      <c r="HS22" s="347"/>
      <c r="HT22" s="347"/>
      <c r="HU22" s="347"/>
      <c r="HV22" s="347"/>
      <c r="HW22" s="347"/>
      <c r="HX22" s="347"/>
      <c r="HY22" s="347"/>
      <c r="HZ22" s="347"/>
      <c r="IA22" s="347"/>
      <c r="IB22" s="347"/>
      <c r="IC22" s="347"/>
      <c r="ID22" s="347"/>
      <c r="IE22" s="347"/>
      <c r="IF22" s="347"/>
      <c r="IG22" s="347"/>
      <c r="IH22" s="347"/>
      <c r="II22" s="347"/>
      <c r="IJ22" s="347"/>
      <c r="IK22" s="347"/>
      <c r="IL22" s="347"/>
      <c r="IM22" s="347"/>
      <c r="IN22" s="347"/>
      <c r="IO22" s="347"/>
      <c r="IP22" s="347"/>
      <c r="IQ22" s="347"/>
      <c r="IR22" s="347"/>
      <c r="IS22" s="347"/>
      <c r="IT22" s="347"/>
      <c r="IU22" s="347"/>
      <c r="IV22" s="331"/>
    </row>
    <row r="23" s="93" customFormat="1" spans="1:256">
      <c r="A23" s="355" t="s">
        <v>1165</v>
      </c>
      <c r="B23" s="142"/>
      <c r="C23" s="353" t="s">
        <v>1166</v>
      </c>
      <c r="D23" s="357" t="e">
        <f>D21-D22</f>
        <v>#DIV/0!</v>
      </c>
      <c r="E23" s="34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A23" s="347"/>
      <c r="BB23" s="347"/>
      <c r="BC23" s="347"/>
      <c r="BD23" s="347"/>
      <c r="BE23" s="347"/>
      <c r="BF23" s="347"/>
      <c r="BG23" s="347"/>
      <c r="BH23" s="347"/>
      <c r="BI23" s="347"/>
      <c r="BJ23" s="347"/>
      <c r="BK23" s="347"/>
      <c r="BL23" s="347"/>
      <c r="BM23" s="347"/>
      <c r="BN23" s="347"/>
      <c r="BO23" s="347"/>
      <c r="BP23" s="347"/>
      <c r="BQ23" s="347"/>
      <c r="BR23" s="347"/>
      <c r="BS23" s="347"/>
      <c r="BT23" s="347"/>
      <c r="BU23" s="347"/>
      <c r="BV23" s="347"/>
      <c r="BW23" s="347"/>
      <c r="BX23" s="347"/>
      <c r="BY23" s="347"/>
      <c r="BZ23" s="347"/>
      <c r="CA23" s="347"/>
      <c r="CB23" s="347"/>
      <c r="CC23" s="347"/>
      <c r="CD23" s="347"/>
      <c r="CE23" s="347"/>
      <c r="CF23" s="347"/>
      <c r="CG23" s="347"/>
      <c r="CH23" s="347"/>
      <c r="CI23" s="347"/>
      <c r="CJ23" s="347"/>
      <c r="CK23" s="347"/>
      <c r="CL23" s="347"/>
      <c r="CM23" s="347"/>
      <c r="CN23" s="347"/>
      <c r="CO23" s="347"/>
      <c r="CP23" s="347"/>
      <c r="CQ23" s="347"/>
      <c r="CR23" s="347"/>
      <c r="CS23" s="347"/>
      <c r="CT23" s="347"/>
      <c r="CU23" s="347"/>
      <c r="CV23" s="347"/>
      <c r="CW23" s="347"/>
      <c r="CX23" s="347"/>
      <c r="CY23" s="347"/>
      <c r="CZ23" s="347"/>
      <c r="DA23" s="347"/>
      <c r="DB23" s="347"/>
      <c r="DC23" s="347"/>
      <c r="DD23" s="347"/>
      <c r="DE23" s="347"/>
      <c r="DF23" s="347"/>
      <c r="DG23" s="347"/>
      <c r="DH23" s="347"/>
      <c r="DI23" s="347"/>
      <c r="DJ23" s="347"/>
      <c r="DK23" s="347"/>
      <c r="DL23" s="347"/>
      <c r="DM23" s="347"/>
      <c r="DN23" s="347"/>
      <c r="DO23" s="347"/>
      <c r="DP23" s="347"/>
      <c r="DQ23" s="347"/>
      <c r="DR23" s="347"/>
      <c r="DS23" s="347"/>
      <c r="DT23" s="347"/>
      <c r="DU23" s="347"/>
      <c r="DV23" s="347"/>
      <c r="DW23" s="347"/>
      <c r="DX23" s="347"/>
      <c r="DY23" s="347"/>
      <c r="DZ23" s="347"/>
      <c r="EA23" s="347"/>
      <c r="EB23" s="347"/>
      <c r="EC23" s="347"/>
      <c r="ED23" s="347"/>
      <c r="EE23" s="347"/>
      <c r="EF23" s="347"/>
      <c r="EG23" s="347"/>
      <c r="EH23" s="347"/>
      <c r="EI23" s="347"/>
      <c r="EJ23" s="347"/>
      <c r="EK23" s="347"/>
      <c r="EL23" s="347"/>
      <c r="EM23" s="347"/>
      <c r="EN23" s="347"/>
      <c r="EO23" s="347"/>
      <c r="EP23" s="347"/>
      <c r="EQ23" s="347"/>
      <c r="ER23" s="347"/>
      <c r="ES23" s="347"/>
      <c r="ET23" s="347"/>
      <c r="EU23" s="347"/>
      <c r="EV23" s="347"/>
      <c r="EW23" s="347"/>
      <c r="EX23" s="347"/>
      <c r="EY23" s="347"/>
      <c r="EZ23" s="347"/>
      <c r="FA23" s="347"/>
      <c r="FB23" s="347"/>
      <c r="FC23" s="347"/>
      <c r="FD23" s="347"/>
      <c r="FE23" s="347"/>
      <c r="FF23" s="347"/>
      <c r="FG23" s="347"/>
      <c r="FH23" s="347"/>
      <c r="FI23" s="347"/>
      <c r="FJ23" s="347"/>
      <c r="FK23" s="347"/>
      <c r="FL23" s="347"/>
      <c r="FM23" s="347"/>
      <c r="FN23" s="347"/>
      <c r="FO23" s="347"/>
      <c r="FP23" s="347"/>
      <c r="FQ23" s="347"/>
      <c r="FR23" s="347"/>
      <c r="FS23" s="347"/>
      <c r="FT23" s="347"/>
      <c r="FU23" s="347"/>
      <c r="FV23" s="347"/>
      <c r="FW23" s="347"/>
      <c r="FX23" s="347"/>
      <c r="FY23" s="347"/>
      <c r="FZ23" s="347"/>
      <c r="GA23" s="347"/>
      <c r="GB23" s="347"/>
      <c r="GC23" s="347"/>
      <c r="GD23" s="347"/>
      <c r="GE23" s="347"/>
      <c r="GF23" s="347"/>
      <c r="GG23" s="347"/>
      <c r="GH23" s="347"/>
      <c r="GI23" s="347"/>
      <c r="GJ23" s="347"/>
      <c r="GK23" s="347"/>
      <c r="GL23" s="347"/>
      <c r="GM23" s="347"/>
      <c r="GN23" s="347"/>
      <c r="GO23" s="347"/>
      <c r="GP23" s="347"/>
      <c r="GQ23" s="347"/>
      <c r="GR23" s="347"/>
      <c r="GS23" s="347"/>
      <c r="GT23" s="347"/>
      <c r="GU23" s="347"/>
      <c r="GV23" s="347"/>
      <c r="GW23" s="347"/>
      <c r="GX23" s="347"/>
      <c r="GY23" s="347"/>
      <c r="GZ23" s="347"/>
      <c r="HA23" s="347"/>
      <c r="HB23" s="347"/>
      <c r="HC23" s="347"/>
      <c r="HD23" s="347"/>
      <c r="HE23" s="347"/>
      <c r="HF23" s="347"/>
      <c r="HG23" s="347"/>
      <c r="HH23" s="347"/>
      <c r="HI23" s="347"/>
      <c r="HJ23" s="347"/>
      <c r="HK23" s="347"/>
      <c r="HL23" s="347"/>
      <c r="HM23" s="347"/>
      <c r="HN23" s="347"/>
      <c r="HO23" s="347"/>
      <c r="HP23" s="347"/>
      <c r="HQ23" s="347"/>
      <c r="HR23" s="347"/>
      <c r="HS23" s="347"/>
      <c r="HT23" s="347"/>
      <c r="HU23" s="347"/>
      <c r="HV23" s="347"/>
      <c r="HW23" s="347"/>
      <c r="HX23" s="347"/>
      <c r="HY23" s="347"/>
      <c r="HZ23" s="347"/>
      <c r="IA23" s="347"/>
      <c r="IB23" s="347"/>
      <c r="IC23" s="347"/>
      <c r="ID23" s="347"/>
      <c r="IE23" s="347"/>
      <c r="IF23" s="347"/>
      <c r="IG23" s="347"/>
      <c r="IH23" s="347"/>
      <c r="II23" s="347"/>
      <c r="IJ23" s="347"/>
      <c r="IK23" s="347"/>
      <c r="IL23" s="347"/>
      <c r="IM23" s="347"/>
      <c r="IN23" s="347"/>
      <c r="IO23" s="347"/>
      <c r="IP23" s="347"/>
      <c r="IQ23" s="347"/>
      <c r="IR23" s="347"/>
      <c r="IS23" s="347"/>
      <c r="IT23" s="347"/>
      <c r="IU23" s="347"/>
      <c r="IV23" s="331"/>
    </row>
    <row r="24" s="93" customFormat="1" spans="1:256">
      <c r="A24" s="358" t="s">
        <v>1167</v>
      </c>
      <c r="B24" s="142"/>
      <c r="C24" s="353" t="s">
        <v>1168</v>
      </c>
      <c r="D24" s="360" t="e">
        <f>IF(D23&gt;0,"安全","危险")</f>
        <v>#DIV/0!</v>
      </c>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c r="CG24" s="347"/>
      <c r="CH24" s="347"/>
      <c r="CI24" s="347"/>
      <c r="CJ24" s="347"/>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c r="DJ24" s="347"/>
      <c r="DK24" s="347"/>
      <c r="DL24" s="347"/>
      <c r="DM24" s="347"/>
      <c r="DN24" s="347"/>
      <c r="DO24" s="347"/>
      <c r="DP24" s="347"/>
      <c r="DQ24" s="347"/>
      <c r="DR24" s="347"/>
      <c r="DS24" s="347"/>
      <c r="DT24" s="347"/>
      <c r="DU24" s="347"/>
      <c r="DV24" s="347"/>
      <c r="DW24" s="347"/>
      <c r="DX24" s="347"/>
      <c r="DY24" s="347"/>
      <c r="DZ24" s="347"/>
      <c r="EA24" s="347"/>
      <c r="EB24" s="347"/>
      <c r="EC24" s="347"/>
      <c r="ED24" s="347"/>
      <c r="EE24" s="347"/>
      <c r="EF24" s="347"/>
      <c r="EG24" s="347"/>
      <c r="EH24" s="347"/>
      <c r="EI24" s="347"/>
      <c r="EJ24" s="347"/>
      <c r="EK24" s="347"/>
      <c r="EL24" s="347"/>
      <c r="EM24" s="347"/>
      <c r="EN24" s="347"/>
      <c r="EO24" s="347"/>
      <c r="EP24" s="347"/>
      <c r="EQ24" s="347"/>
      <c r="ER24" s="347"/>
      <c r="ES24" s="347"/>
      <c r="ET24" s="347"/>
      <c r="EU24" s="347"/>
      <c r="EV24" s="347"/>
      <c r="EW24" s="347"/>
      <c r="EX24" s="347"/>
      <c r="EY24" s="347"/>
      <c r="EZ24" s="347"/>
      <c r="FA24" s="347"/>
      <c r="FB24" s="347"/>
      <c r="FC24" s="347"/>
      <c r="FD24" s="347"/>
      <c r="FE24" s="347"/>
      <c r="FF24" s="347"/>
      <c r="FG24" s="347"/>
      <c r="FH24" s="347"/>
      <c r="FI24" s="347"/>
      <c r="FJ24" s="347"/>
      <c r="FK24" s="347"/>
      <c r="FL24" s="347"/>
      <c r="FM24" s="347"/>
      <c r="FN24" s="347"/>
      <c r="FO24" s="347"/>
      <c r="FP24" s="347"/>
      <c r="FQ24" s="347"/>
      <c r="FR24" s="347"/>
      <c r="FS24" s="347"/>
      <c r="FT24" s="347"/>
      <c r="FU24" s="347"/>
      <c r="FV24" s="347"/>
      <c r="FW24" s="347"/>
      <c r="FX24" s="347"/>
      <c r="FY24" s="347"/>
      <c r="FZ24" s="347"/>
      <c r="GA24" s="347"/>
      <c r="GB24" s="347"/>
      <c r="GC24" s="347"/>
      <c r="GD24" s="347"/>
      <c r="GE24" s="347"/>
      <c r="GF24" s="347"/>
      <c r="GG24" s="347"/>
      <c r="GH24" s="347"/>
      <c r="GI24" s="347"/>
      <c r="GJ24" s="347"/>
      <c r="GK24" s="347"/>
      <c r="GL24" s="347"/>
      <c r="GM24" s="347"/>
      <c r="GN24" s="347"/>
      <c r="GO24" s="347"/>
      <c r="GP24" s="347"/>
      <c r="GQ24" s="347"/>
      <c r="GR24" s="347"/>
      <c r="GS24" s="347"/>
      <c r="GT24" s="347"/>
      <c r="GU24" s="347"/>
      <c r="GV24" s="347"/>
      <c r="GW24" s="347"/>
      <c r="GX24" s="347"/>
      <c r="GY24" s="347"/>
      <c r="GZ24" s="347"/>
      <c r="HA24" s="347"/>
      <c r="HB24" s="347"/>
      <c r="HC24" s="347"/>
      <c r="HD24" s="347"/>
      <c r="HE24" s="347"/>
      <c r="HF24" s="347"/>
      <c r="HG24" s="347"/>
      <c r="HH24" s="347"/>
      <c r="HI24" s="347"/>
      <c r="HJ24" s="347"/>
      <c r="HK24" s="347"/>
      <c r="HL24" s="347"/>
      <c r="HM24" s="347"/>
      <c r="HN24" s="347"/>
      <c r="HO24" s="347"/>
      <c r="HP24" s="347"/>
      <c r="HQ24" s="347"/>
      <c r="HR24" s="347"/>
      <c r="HS24" s="347"/>
      <c r="HT24" s="347"/>
      <c r="HU24" s="347"/>
      <c r="HV24" s="347"/>
      <c r="HW24" s="347"/>
      <c r="HX24" s="347"/>
      <c r="HY24" s="347"/>
      <c r="HZ24" s="347"/>
      <c r="IA24" s="347"/>
      <c r="IB24" s="347"/>
      <c r="IC24" s="347"/>
      <c r="ID24" s="347"/>
      <c r="IE24" s="347"/>
      <c r="IF24" s="347"/>
      <c r="IG24" s="347"/>
      <c r="IH24" s="347"/>
      <c r="II24" s="347"/>
      <c r="IJ24" s="347"/>
      <c r="IK24" s="347"/>
      <c r="IL24" s="347"/>
      <c r="IM24" s="347"/>
      <c r="IN24" s="347"/>
      <c r="IO24" s="347"/>
      <c r="IP24" s="347"/>
      <c r="IQ24" s="347"/>
      <c r="IR24" s="347"/>
      <c r="IS24" s="347"/>
      <c r="IT24" s="347"/>
      <c r="IU24" s="347"/>
      <c r="IV24" s="331"/>
    </row>
    <row r="25" s="93" customFormat="1" spans="1:256">
      <c r="A25" s="136"/>
      <c r="B25" s="135"/>
      <c r="C25" s="145"/>
      <c r="D25" s="136"/>
      <c r="E25" s="34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c r="BX25" s="347"/>
      <c r="BY25" s="347"/>
      <c r="BZ25" s="347"/>
      <c r="CA25" s="347"/>
      <c r="CB25" s="347"/>
      <c r="CC25" s="347"/>
      <c r="CD25" s="347"/>
      <c r="CE25" s="347"/>
      <c r="CF25" s="347"/>
      <c r="CG25" s="347"/>
      <c r="CH25" s="347"/>
      <c r="CI25" s="347"/>
      <c r="CJ25" s="347"/>
      <c r="CK25" s="347"/>
      <c r="CL25" s="347"/>
      <c r="CM25" s="347"/>
      <c r="CN25" s="347"/>
      <c r="CO25" s="347"/>
      <c r="CP25" s="347"/>
      <c r="CQ25" s="347"/>
      <c r="CR25" s="347"/>
      <c r="CS25" s="347"/>
      <c r="CT25" s="347"/>
      <c r="CU25" s="347"/>
      <c r="CV25" s="347"/>
      <c r="CW25" s="347"/>
      <c r="CX25" s="347"/>
      <c r="CY25" s="347"/>
      <c r="CZ25" s="347"/>
      <c r="DA25" s="347"/>
      <c r="DB25" s="347"/>
      <c r="DC25" s="347"/>
      <c r="DD25" s="347"/>
      <c r="DE25" s="347"/>
      <c r="DF25" s="347"/>
      <c r="DG25" s="347"/>
      <c r="DH25" s="347"/>
      <c r="DI25" s="347"/>
      <c r="DJ25" s="347"/>
      <c r="DK25" s="347"/>
      <c r="DL25" s="347"/>
      <c r="DM25" s="347"/>
      <c r="DN25" s="347"/>
      <c r="DO25" s="347"/>
      <c r="DP25" s="347"/>
      <c r="DQ25" s="347"/>
      <c r="DR25" s="347"/>
      <c r="DS25" s="347"/>
      <c r="DT25" s="347"/>
      <c r="DU25" s="347"/>
      <c r="DV25" s="347"/>
      <c r="DW25" s="347"/>
      <c r="DX25" s="347"/>
      <c r="DY25" s="347"/>
      <c r="DZ25" s="347"/>
      <c r="EA25" s="347"/>
      <c r="EB25" s="347"/>
      <c r="EC25" s="347"/>
      <c r="ED25" s="347"/>
      <c r="EE25" s="347"/>
      <c r="EF25" s="347"/>
      <c r="EG25" s="347"/>
      <c r="EH25" s="347"/>
      <c r="EI25" s="347"/>
      <c r="EJ25" s="347"/>
      <c r="EK25" s="347"/>
      <c r="EL25" s="347"/>
      <c r="EM25" s="347"/>
      <c r="EN25" s="347"/>
      <c r="EO25" s="347"/>
      <c r="EP25" s="347"/>
      <c r="EQ25" s="347"/>
      <c r="ER25" s="347"/>
      <c r="ES25" s="347"/>
      <c r="ET25" s="347"/>
      <c r="EU25" s="347"/>
      <c r="EV25" s="347"/>
      <c r="EW25" s="347"/>
      <c r="EX25" s="347"/>
      <c r="EY25" s="347"/>
      <c r="EZ25" s="347"/>
      <c r="FA25" s="347"/>
      <c r="FB25" s="347"/>
      <c r="FC25" s="347"/>
      <c r="FD25" s="347"/>
      <c r="FE25" s="347"/>
      <c r="FF25" s="347"/>
      <c r="FG25" s="347"/>
      <c r="FH25" s="347"/>
      <c r="FI25" s="347"/>
      <c r="FJ25" s="347"/>
      <c r="FK25" s="347"/>
      <c r="FL25" s="347"/>
      <c r="FM25" s="347"/>
      <c r="FN25" s="347"/>
      <c r="FO25" s="347"/>
      <c r="FP25" s="347"/>
      <c r="FQ25" s="347"/>
      <c r="FR25" s="347"/>
      <c r="FS25" s="347"/>
      <c r="FT25" s="347"/>
      <c r="FU25" s="347"/>
      <c r="FV25" s="347"/>
      <c r="FW25" s="347"/>
      <c r="FX25" s="347"/>
      <c r="FY25" s="347"/>
      <c r="FZ25" s="347"/>
      <c r="GA25" s="347"/>
      <c r="GB25" s="347"/>
      <c r="GC25" s="347"/>
      <c r="GD25" s="347"/>
      <c r="GE25" s="347"/>
      <c r="GF25" s="347"/>
      <c r="GG25" s="347"/>
      <c r="GH25" s="347"/>
      <c r="GI25" s="347"/>
      <c r="GJ25" s="347"/>
      <c r="GK25" s="347"/>
      <c r="GL25" s="347"/>
      <c r="GM25" s="347"/>
      <c r="GN25" s="347"/>
      <c r="GO25" s="347"/>
      <c r="GP25" s="347"/>
      <c r="GQ25" s="347"/>
      <c r="GR25" s="347"/>
      <c r="GS25" s="347"/>
      <c r="GT25" s="347"/>
      <c r="GU25" s="347"/>
      <c r="GV25" s="347"/>
      <c r="GW25" s="347"/>
      <c r="GX25" s="347"/>
      <c r="GY25" s="347"/>
      <c r="GZ25" s="347"/>
      <c r="HA25" s="347"/>
      <c r="HB25" s="347"/>
      <c r="HC25" s="347"/>
      <c r="HD25" s="347"/>
      <c r="HE25" s="347"/>
      <c r="HF25" s="347"/>
      <c r="HG25" s="347"/>
      <c r="HH25" s="347"/>
      <c r="HI25" s="347"/>
      <c r="HJ25" s="347"/>
      <c r="HK25" s="347"/>
      <c r="HL25" s="347"/>
      <c r="HM25" s="347"/>
      <c r="HN25" s="347"/>
      <c r="HO25" s="347"/>
      <c r="HP25" s="347"/>
      <c r="HQ25" s="347"/>
      <c r="HR25" s="347"/>
      <c r="HS25" s="347"/>
      <c r="HT25" s="347"/>
      <c r="HU25" s="347"/>
      <c r="HV25" s="347"/>
      <c r="HW25" s="347"/>
      <c r="HX25" s="347"/>
      <c r="HY25" s="347"/>
      <c r="HZ25" s="347"/>
      <c r="IA25" s="347"/>
      <c r="IB25" s="347"/>
      <c r="IC25" s="347"/>
      <c r="ID25" s="347"/>
      <c r="IE25" s="347"/>
      <c r="IF25" s="347"/>
      <c r="IG25" s="347"/>
      <c r="IH25" s="347"/>
      <c r="II25" s="347"/>
      <c r="IJ25" s="347"/>
      <c r="IK25" s="347"/>
      <c r="IL25" s="347"/>
      <c r="IM25" s="347"/>
      <c r="IN25" s="347"/>
      <c r="IO25" s="347"/>
      <c r="IP25" s="347"/>
      <c r="IQ25" s="347"/>
      <c r="IR25" s="347"/>
      <c r="IS25" s="347"/>
      <c r="IT25" s="347"/>
      <c r="IU25" s="347"/>
      <c r="IV25" s="331"/>
    </row>
    <row r="26" s="93" customFormat="1" spans="1:256">
      <c r="A26" s="355" t="s">
        <v>1169</v>
      </c>
      <c r="B26" s="142"/>
      <c r="C26" s="361" t="s">
        <v>1170</v>
      </c>
      <c r="D26" s="357" t="e">
        <f>100%-D9/D13</f>
        <v>#DIV/0!</v>
      </c>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7"/>
      <c r="AT26" s="347"/>
      <c r="AU26" s="347"/>
      <c r="AV26" s="347"/>
      <c r="AW26" s="347"/>
      <c r="AX26" s="347"/>
      <c r="AY26" s="347"/>
      <c r="AZ26" s="347"/>
      <c r="BA26" s="347"/>
      <c r="BB26" s="347"/>
      <c r="BC26" s="347"/>
      <c r="BD26" s="347"/>
      <c r="BE26" s="347"/>
      <c r="BF26" s="347"/>
      <c r="BG26" s="347"/>
      <c r="BH26" s="347"/>
      <c r="BI26" s="347"/>
      <c r="BJ26" s="347"/>
      <c r="BK26" s="347"/>
      <c r="BL26" s="347"/>
      <c r="BM26" s="347"/>
      <c r="BN26" s="347"/>
      <c r="BO26" s="347"/>
      <c r="BP26" s="347"/>
      <c r="BQ26" s="347"/>
      <c r="BR26" s="347"/>
      <c r="BS26" s="347"/>
      <c r="BT26" s="347"/>
      <c r="BU26" s="347"/>
      <c r="BV26" s="347"/>
      <c r="BW26" s="347"/>
      <c r="BX26" s="347"/>
      <c r="BY26" s="347"/>
      <c r="BZ26" s="347"/>
      <c r="CA26" s="347"/>
      <c r="CB26" s="347"/>
      <c r="CC26" s="347"/>
      <c r="CD26" s="347"/>
      <c r="CE26" s="347"/>
      <c r="CF26" s="347"/>
      <c r="CG26" s="347"/>
      <c r="CH26" s="347"/>
      <c r="CI26" s="347"/>
      <c r="CJ26" s="347"/>
      <c r="CK26" s="347"/>
      <c r="CL26" s="347"/>
      <c r="CM26" s="347"/>
      <c r="CN26" s="347"/>
      <c r="CO26" s="347"/>
      <c r="CP26" s="347"/>
      <c r="CQ26" s="347"/>
      <c r="CR26" s="347"/>
      <c r="CS26" s="347"/>
      <c r="CT26" s="347"/>
      <c r="CU26" s="347"/>
      <c r="CV26" s="347"/>
      <c r="CW26" s="347"/>
      <c r="CX26" s="347"/>
      <c r="CY26" s="347"/>
      <c r="CZ26" s="347"/>
      <c r="DA26" s="347"/>
      <c r="DB26" s="347"/>
      <c r="DC26" s="347"/>
      <c r="DD26" s="347"/>
      <c r="DE26" s="347"/>
      <c r="DF26" s="347"/>
      <c r="DG26" s="347"/>
      <c r="DH26" s="347"/>
      <c r="DI26" s="347"/>
      <c r="DJ26" s="347"/>
      <c r="DK26" s="347"/>
      <c r="DL26" s="347"/>
      <c r="DM26" s="347"/>
      <c r="DN26" s="347"/>
      <c r="DO26" s="347"/>
      <c r="DP26" s="347"/>
      <c r="DQ26" s="347"/>
      <c r="DR26" s="347"/>
      <c r="DS26" s="347"/>
      <c r="DT26" s="347"/>
      <c r="DU26" s="347"/>
      <c r="DV26" s="347"/>
      <c r="DW26" s="347"/>
      <c r="DX26" s="347"/>
      <c r="DY26" s="347"/>
      <c r="DZ26" s="347"/>
      <c r="EA26" s="347"/>
      <c r="EB26" s="347"/>
      <c r="EC26" s="347"/>
      <c r="ED26" s="347"/>
      <c r="EE26" s="347"/>
      <c r="EF26" s="347"/>
      <c r="EG26" s="347"/>
      <c r="EH26" s="347"/>
      <c r="EI26" s="347"/>
      <c r="EJ26" s="347"/>
      <c r="EK26" s="347"/>
      <c r="EL26" s="347"/>
      <c r="EM26" s="347"/>
      <c r="EN26" s="347"/>
      <c r="EO26" s="347"/>
      <c r="EP26" s="347"/>
      <c r="EQ26" s="347"/>
      <c r="ER26" s="347"/>
      <c r="ES26" s="347"/>
      <c r="ET26" s="347"/>
      <c r="EU26" s="347"/>
      <c r="EV26" s="347"/>
      <c r="EW26" s="347"/>
      <c r="EX26" s="347"/>
      <c r="EY26" s="347"/>
      <c r="EZ26" s="347"/>
      <c r="FA26" s="347"/>
      <c r="FB26" s="347"/>
      <c r="FC26" s="347"/>
      <c r="FD26" s="347"/>
      <c r="FE26" s="347"/>
      <c r="FF26" s="347"/>
      <c r="FG26" s="347"/>
      <c r="FH26" s="347"/>
      <c r="FI26" s="347"/>
      <c r="FJ26" s="347"/>
      <c r="FK26" s="347"/>
      <c r="FL26" s="347"/>
      <c r="FM26" s="347"/>
      <c r="FN26" s="347"/>
      <c r="FO26" s="347"/>
      <c r="FP26" s="347"/>
      <c r="FQ26" s="347"/>
      <c r="FR26" s="347"/>
      <c r="FS26" s="347"/>
      <c r="FT26" s="347"/>
      <c r="FU26" s="347"/>
      <c r="FV26" s="347"/>
      <c r="FW26" s="347"/>
      <c r="FX26" s="347"/>
      <c r="FY26" s="347"/>
      <c r="FZ26" s="347"/>
      <c r="GA26" s="347"/>
      <c r="GB26" s="347"/>
      <c r="GC26" s="347"/>
      <c r="GD26" s="347"/>
      <c r="GE26" s="347"/>
      <c r="GF26" s="347"/>
      <c r="GG26" s="347"/>
      <c r="GH26" s="347"/>
      <c r="GI26" s="347"/>
      <c r="GJ26" s="347"/>
      <c r="GK26" s="347"/>
      <c r="GL26" s="347"/>
      <c r="GM26" s="347"/>
      <c r="GN26" s="347"/>
      <c r="GO26" s="347"/>
      <c r="GP26" s="347"/>
      <c r="GQ26" s="347"/>
      <c r="GR26" s="347"/>
      <c r="GS26" s="347"/>
      <c r="GT26" s="347"/>
      <c r="GU26" s="347"/>
      <c r="GV26" s="347"/>
      <c r="GW26" s="347"/>
      <c r="GX26" s="347"/>
      <c r="GY26" s="347"/>
      <c r="GZ26" s="347"/>
      <c r="HA26" s="347"/>
      <c r="HB26" s="347"/>
      <c r="HC26" s="347"/>
      <c r="HD26" s="347"/>
      <c r="HE26" s="347"/>
      <c r="HF26" s="347"/>
      <c r="HG26" s="347"/>
      <c r="HH26" s="347"/>
      <c r="HI26" s="347"/>
      <c r="HJ26" s="347"/>
      <c r="HK26" s="347"/>
      <c r="HL26" s="347"/>
      <c r="HM26" s="347"/>
      <c r="HN26" s="347"/>
      <c r="HO26" s="347"/>
      <c r="HP26" s="347"/>
      <c r="HQ26" s="347"/>
      <c r="HR26" s="347"/>
      <c r="HS26" s="347"/>
      <c r="HT26" s="347"/>
      <c r="HU26" s="347"/>
      <c r="HV26" s="347"/>
      <c r="HW26" s="347"/>
      <c r="HX26" s="347"/>
      <c r="HY26" s="347"/>
      <c r="HZ26" s="347"/>
      <c r="IA26" s="347"/>
      <c r="IB26" s="347"/>
      <c r="IC26" s="347"/>
      <c r="ID26" s="347"/>
      <c r="IE26" s="347"/>
      <c r="IF26" s="347"/>
      <c r="IG26" s="347"/>
      <c r="IH26" s="347"/>
      <c r="II26" s="347"/>
      <c r="IJ26" s="347"/>
      <c r="IK26" s="347"/>
      <c r="IL26" s="347"/>
      <c r="IM26" s="347"/>
      <c r="IN26" s="347"/>
      <c r="IO26" s="347"/>
      <c r="IP26" s="347"/>
      <c r="IQ26" s="347"/>
      <c r="IR26" s="347"/>
      <c r="IS26" s="347"/>
      <c r="IT26" s="347"/>
      <c r="IU26" s="347"/>
      <c r="IV26" s="331"/>
    </row>
    <row r="27" s="93" customFormat="1" spans="1:256">
      <c r="A27" s="136"/>
      <c r="B27" s="135"/>
      <c r="C27" s="145"/>
      <c r="D27" s="136"/>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c r="BX27" s="347"/>
      <c r="BY27" s="347"/>
      <c r="BZ27" s="347"/>
      <c r="CA27" s="347"/>
      <c r="CB27" s="347"/>
      <c r="CC27" s="347"/>
      <c r="CD27" s="347"/>
      <c r="CE27" s="347"/>
      <c r="CF27" s="347"/>
      <c r="CG27" s="347"/>
      <c r="CH27" s="347"/>
      <c r="CI27" s="347"/>
      <c r="CJ27" s="347"/>
      <c r="CK27" s="347"/>
      <c r="CL27" s="347"/>
      <c r="CM27" s="347"/>
      <c r="CN27" s="347"/>
      <c r="CO27" s="347"/>
      <c r="CP27" s="347"/>
      <c r="CQ27" s="347"/>
      <c r="CR27" s="347"/>
      <c r="CS27" s="347"/>
      <c r="CT27" s="347"/>
      <c r="CU27" s="347"/>
      <c r="CV27" s="347"/>
      <c r="CW27" s="347"/>
      <c r="CX27" s="347"/>
      <c r="CY27" s="347"/>
      <c r="CZ27" s="347"/>
      <c r="DA27" s="347"/>
      <c r="DB27" s="347"/>
      <c r="DC27" s="347"/>
      <c r="DD27" s="347"/>
      <c r="DE27" s="347"/>
      <c r="DF27" s="347"/>
      <c r="DG27" s="347"/>
      <c r="DH27" s="347"/>
      <c r="DI27" s="347"/>
      <c r="DJ27" s="347"/>
      <c r="DK27" s="347"/>
      <c r="DL27" s="347"/>
      <c r="DM27" s="347"/>
      <c r="DN27" s="347"/>
      <c r="DO27" s="347"/>
      <c r="DP27" s="347"/>
      <c r="DQ27" s="347"/>
      <c r="DR27" s="347"/>
      <c r="DS27" s="347"/>
      <c r="DT27" s="347"/>
      <c r="DU27" s="347"/>
      <c r="DV27" s="347"/>
      <c r="DW27" s="347"/>
      <c r="DX27" s="347"/>
      <c r="DY27" s="347"/>
      <c r="DZ27" s="347"/>
      <c r="EA27" s="347"/>
      <c r="EB27" s="347"/>
      <c r="EC27" s="347"/>
      <c r="ED27" s="347"/>
      <c r="EE27" s="347"/>
      <c r="EF27" s="347"/>
      <c r="EG27" s="347"/>
      <c r="EH27" s="347"/>
      <c r="EI27" s="347"/>
      <c r="EJ27" s="347"/>
      <c r="EK27" s="347"/>
      <c r="EL27" s="347"/>
      <c r="EM27" s="347"/>
      <c r="EN27" s="347"/>
      <c r="EO27" s="347"/>
      <c r="EP27" s="347"/>
      <c r="EQ27" s="347"/>
      <c r="ER27" s="347"/>
      <c r="ES27" s="347"/>
      <c r="ET27" s="347"/>
      <c r="EU27" s="347"/>
      <c r="EV27" s="347"/>
      <c r="EW27" s="347"/>
      <c r="EX27" s="347"/>
      <c r="EY27" s="347"/>
      <c r="EZ27" s="347"/>
      <c r="FA27" s="347"/>
      <c r="FB27" s="347"/>
      <c r="FC27" s="347"/>
      <c r="FD27" s="347"/>
      <c r="FE27" s="347"/>
      <c r="FF27" s="347"/>
      <c r="FG27" s="347"/>
      <c r="FH27" s="347"/>
      <c r="FI27" s="347"/>
      <c r="FJ27" s="347"/>
      <c r="FK27" s="347"/>
      <c r="FL27" s="347"/>
      <c r="FM27" s="347"/>
      <c r="FN27" s="347"/>
      <c r="FO27" s="347"/>
      <c r="FP27" s="347"/>
      <c r="FQ27" s="347"/>
      <c r="FR27" s="347"/>
      <c r="FS27" s="347"/>
      <c r="FT27" s="347"/>
      <c r="FU27" s="347"/>
      <c r="FV27" s="347"/>
      <c r="FW27" s="347"/>
      <c r="FX27" s="347"/>
      <c r="FY27" s="347"/>
      <c r="FZ27" s="347"/>
      <c r="GA27" s="347"/>
      <c r="GB27" s="347"/>
      <c r="GC27" s="347"/>
      <c r="GD27" s="347"/>
      <c r="GE27" s="347"/>
      <c r="GF27" s="347"/>
      <c r="GG27" s="347"/>
      <c r="GH27" s="347"/>
      <c r="GI27" s="347"/>
      <c r="GJ27" s="347"/>
      <c r="GK27" s="347"/>
      <c r="GL27" s="347"/>
      <c r="GM27" s="347"/>
      <c r="GN27" s="347"/>
      <c r="GO27" s="347"/>
      <c r="GP27" s="347"/>
      <c r="GQ27" s="347"/>
      <c r="GR27" s="347"/>
      <c r="GS27" s="347"/>
      <c r="GT27" s="347"/>
      <c r="GU27" s="347"/>
      <c r="GV27" s="347"/>
      <c r="GW27" s="347"/>
      <c r="GX27" s="347"/>
      <c r="GY27" s="347"/>
      <c r="GZ27" s="347"/>
      <c r="HA27" s="347"/>
      <c r="HB27" s="347"/>
      <c r="HC27" s="347"/>
      <c r="HD27" s="347"/>
      <c r="HE27" s="347"/>
      <c r="HF27" s="347"/>
      <c r="HG27" s="347"/>
      <c r="HH27" s="347"/>
      <c r="HI27" s="347"/>
      <c r="HJ27" s="347"/>
      <c r="HK27" s="347"/>
      <c r="HL27" s="347"/>
      <c r="HM27" s="347"/>
      <c r="HN27" s="347"/>
      <c r="HO27" s="347"/>
      <c r="HP27" s="347"/>
      <c r="HQ27" s="347"/>
      <c r="HR27" s="347"/>
      <c r="HS27" s="347"/>
      <c r="HT27" s="347"/>
      <c r="HU27" s="347"/>
      <c r="HV27" s="347"/>
      <c r="HW27" s="347"/>
      <c r="HX27" s="347"/>
      <c r="HY27" s="347"/>
      <c r="HZ27" s="347"/>
      <c r="IA27" s="347"/>
      <c r="IB27" s="347"/>
      <c r="IC27" s="347"/>
      <c r="ID27" s="347"/>
      <c r="IE27" s="347"/>
      <c r="IF27" s="347"/>
      <c r="IG27" s="347"/>
      <c r="IH27" s="347"/>
      <c r="II27" s="347"/>
      <c r="IJ27" s="347"/>
      <c r="IK27" s="347"/>
      <c r="IL27" s="347"/>
      <c r="IM27" s="347"/>
      <c r="IN27" s="347"/>
      <c r="IO27" s="347"/>
      <c r="IP27" s="347"/>
      <c r="IQ27" s="347"/>
      <c r="IR27" s="347"/>
      <c r="IS27" s="347"/>
      <c r="IT27" s="347"/>
      <c r="IU27" s="347"/>
      <c r="IV27" s="331"/>
    </row>
    <row r="28" s="93" customFormat="1" spans="1:256">
      <c r="A28" s="355" t="s">
        <v>1171</v>
      </c>
      <c r="B28" s="142"/>
      <c r="C28" s="353" t="s">
        <v>1172</v>
      </c>
      <c r="D28" s="357" t="e">
        <f>D26*D23</f>
        <v>#DIV/0!</v>
      </c>
      <c r="E28" s="347"/>
      <c r="F28" s="347"/>
      <c r="G28" s="347"/>
      <c r="H28" s="347"/>
      <c r="I28" s="347"/>
      <c r="J28" s="347"/>
      <c r="K28" s="347"/>
      <c r="L28" s="347"/>
      <c r="M28" s="347"/>
      <c r="N28" s="347"/>
      <c r="O28" s="347"/>
      <c r="P28" s="347"/>
      <c r="Q28" s="347"/>
      <c r="R28" s="347"/>
      <c r="S28" s="347"/>
      <c r="T28" s="347"/>
      <c r="U28" s="347"/>
      <c r="V28" s="347"/>
      <c r="W28" s="347"/>
      <c r="X28" s="347"/>
      <c r="Y28" s="347"/>
      <c r="Z28" s="347"/>
      <c r="AA28" s="347"/>
      <c r="AB28" s="347"/>
      <c r="AC28" s="347"/>
      <c r="AD28" s="347"/>
      <c r="AE28" s="347"/>
      <c r="AF28" s="347"/>
      <c r="AG28" s="347"/>
      <c r="AH28" s="347"/>
      <c r="AI28" s="347"/>
      <c r="AJ28" s="347"/>
      <c r="AK28" s="347"/>
      <c r="AL28" s="347"/>
      <c r="AM28" s="347"/>
      <c r="AN28" s="347"/>
      <c r="AO28" s="347"/>
      <c r="AP28" s="347"/>
      <c r="AQ28" s="347"/>
      <c r="AR28" s="347"/>
      <c r="AS28" s="347"/>
      <c r="AT28" s="347"/>
      <c r="AU28" s="347"/>
      <c r="AV28" s="347"/>
      <c r="AW28" s="347"/>
      <c r="AX28" s="347"/>
      <c r="AY28" s="347"/>
      <c r="AZ28" s="347"/>
      <c r="BA28" s="347"/>
      <c r="BB28" s="347"/>
      <c r="BC28" s="347"/>
      <c r="BD28" s="347"/>
      <c r="BE28" s="347"/>
      <c r="BF28" s="347"/>
      <c r="BG28" s="347"/>
      <c r="BH28" s="347"/>
      <c r="BI28" s="347"/>
      <c r="BJ28" s="347"/>
      <c r="BK28" s="347"/>
      <c r="BL28" s="347"/>
      <c r="BM28" s="347"/>
      <c r="BN28" s="347"/>
      <c r="BO28" s="347"/>
      <c r="BP28" s="347"/>
      <c r="BQ28" s="347"/>
      <c r="BR28" s="347"/>
      <c r="BS28" s="347"/>
      <c r="BT28" s="347"/>
      <c r="BU28" s="347"/>
      <c r="BV28" s="347"/>
      <c r="BW28" s="347"/>
      <c r="BX28" s="347"/>
      <c r="BY28" s="347"/>
      <c r="BZ28" s="347"/>
      <c r="CA28" s="347"/>
      <c r="CB28" s="347"/>
      <c r="CC28" s="347"/>
      <c r="CD28" s="347"/>
      <c r="CE28" s="347"/>
      <c r="CF28" s="347"/>
      <c r="CG28" s="347"/>
      <c r="CH28" s="347"/>
      <c r="CI28" s="347"/>
      <c r="CJ28" s="347"/>
      <c r="CK28" s="347"/>
      <c r="CL28" s="347"/>
      <c r="CM28" s="347"/>
      <c r="CN28" s="347"/>
      <c r="CO28" s="347"/>
      <c r="CP28" s="347"/>
      <c r="CQ28" s="347"/>
      <c r="CR28" s="347"/>
      <c r="CS28" s="347"/>
      <c r="CT28" s="347"/>
      <c r="CU28" s="347"/>
      <c r="CV28" s="347"/>
      <c r="CW28" s="347"/>
      <c r="CX28" s="347"/>
      <c r="CY28" s="347"/>
      <c r="CZ28" s="347"/>
      <c r="DA28" s="347"/>
      <c r="DB28" s="347"/>
      <c r="DC28" s="347"/>
      <c r="DD28" s="347"/>
      <c r="DE28" s="347"/>
      <c r="DF28" s="347"/>
      <c r="DG28" s="347"/>
      <c r="DH28" s="347"/>
      <c r="DI28" s="347"/>
      <c r="DJ28" s="347"/>
      <c r="DK28" s="347"/>
      <c r="DL28" s="347"/>
      <c r="DM28" s="347"/>
      <c r="DN28" s="347"/>
      <c r="DO28" s="347"/>
      <c r="DP28" s="347"/>
      <c r="DQ28" s="347"/>
      <c r="DR28" s="347"/>
      <c r="DS28" s="347"/>
      <c r="DT28" s="347"/>
      <c r="DU28" s="347"/>
      <c r="DV28" s="347"/>
      <c r="DW28" s="347"/>
      <c r="DX28" s="347"/>
      <c r="DY28" s="347"/>
      <c r="DZ28" s="347"/>
      <c r="EA28" s="347"/>
      <c r="EB28" s="347"/>
      <c r="EC28" s="347"/>
      <c r="ED28" s="347"/>
      <c r="EE28" s="347"/>
      <c r="EF28" s="347"/>
      <c r="EG28" s="347"/>
      <c r="EH28" s="347"/>
      <c r="EI28" s="347"/>
      <c r="EJ28" s="347"/>
      <c r="EK28" s="347"/>
      <c r="EL28" s="347"/>
      <c r="EM28" s="347"/>
      <c r="EN28" s="347"/>
      <c r="EO28" s="347"/>
      <c r="EP28" s="347"/>
      <c r="EQ28" s="347"/>
      <c r="ER28" s="347"/>
      <c r="ES28" s="347"/>
      <c r="ET28" s="347"/>
      <c r="EU28" s="347"/>
      <c r="EV28" s="347"/>
      <c r="EW28" s="347"/>
      <c r="EX28" s="347"/>
      <c r="EY28" s="347"/>
      <c r="EZ28" s="347"/>
      <c r="FA28" s="347"/>
      <c r="FB28" s="347"/>
      <c r="FC28" s="347"/>
      <c r="FD28" s="347"/>
      <c r="FE28" s="347"/>
      <c r="FF28" s="347"/>
      <c r="FG28" s="347"/>
      <c r="FH28" s="347"/>
      <c r="FI28" s="347"/>
      <c r="FJ28" s="347"/>
      <c r="FK28" s="347"/>
      <c r="FL28" s="347"/>
      <c r="FM28" s="347"/>
      <c r="FN28" s="347"/>
      <c r="FO28" s="347"/>
      <c r="FP28" s="347"/>
      <c r="FQ28" s="347"/>
      <c r="FR28" s="347"/>
      <c r="FS28" s="347"/>
      <c r="FT28" s="347"/>
      <c r="FU28" s="347"/>
      <c r="FV28" s="347"/>
      <c r="FW28" s="347"/>
      <c r="FX28" s="347"/>
      <c r="FY28" s="347"/>
      <c r="FZ28" s="347"/>
      <c r="GA28" s="347"/>
      <c r="GB28" s="347"/>
      <c r="GC28" s="347"/>
      <c r="GD28" s="347"/>
      <c r="GE28" s="347"/>
      <c r="GF28" s="347"/>
      <c r="GG28" s="347"/>
      <c r="GH28" s="347"/>
      <c r="GI28" s="347"/>
      <c r="GJ28" s="347"/>
      <c r="GK28" s="347"/>
      <c r="GL28" s="347"/>
      <c r="GM28" s="347"/>
      <c r="GN28" s="347"/>
      <c r="GO28" s="347"/>
      <c r="GP28" s="347"/>
      <c r="GQ28" s="347"/>
      <c r="GR28" s="347"/>
      <c r="GS28" s="347"/>
      <c r="GT28" s="347"/>
      <c r="GU28" s="347"/>
      <c r="GV28" s="347"/>
      <c r="GW28" s="347"/>
      <c r="GX28" s="347"/>
      <c r="GY28" s="347"/>
      <c r="GZ28" s="347"/>
      <c r="HA28" s="347"/>
      <c r="HB28" s="347"/>
      <c r="HC28" s="347"/>
      <c r="HD28" s="347"/>
      <c r="HE28" s="347"/>
      <c r="HF28" s="347"/>
      <c r="HG28" s="347"/>
      <c r="HH28" s="347"/>
      <c r="HI28" s="347"/>
      <c r="HJ28" s="347"/>
      <c r="HK28" s="347"/>
      <c r="HL28" s="347"/>
      <c r="HM28" s="347"/>
      <c r="HN28" s="347"/>
      <c r="HO28" s="347"/>
      <c r="HP28" s="347"/>
      <c r="HQ28" s="347"/>
      <c r="HR28" s="347"/>
      <c r="HS28" s="347"/>
      <c r="HT28" s="347"/>
      <c r="HU28" s="347"/>
      <c r="HV28" s="347"/>
      <c r="HW28" s="347"/>
      <c r="HX28" s="347"/>
      <c r="HY28" s="347"/>
      <c r="HZ28" s="347"/>
      <c r="IA28" s="347"/>
      <c r="IB28" s="347"/>
      <c r="IC28" s="347"/>
      <c r="ID28" s="347"/>
      <c r="IE28" s="347"/>
      <c r="IF28" s="347"/>
      <c r="IG28" s="347"/>
      <c r="IH28" s="347"/>
      <c r="II28" s="347"/>
      <c r="IJ28" s="347"/>
      <c r="IK28" s="347"/>
      <c r="IL28" s="347"/>
      <c r="IM28" s="347"/>
      <c r="IN28" s="347"/>
      <c r="IO28" s="347"/>
      <c r="IP28" s="347"/>
      <c r="IQ28" s="347"/>
      <c r="IR28" s="347"/>
      <c r="IS28" s="347"/>
      <c r="IT28" s="347"/>
      <c r="IU28" s="347"/>
      <c r="IV28" s="331"/>
    </row>
    <row r="29" s="93" customFormat="1" spans="1:256">
      <c r="A29" s="362" t="s">
        <v>1173</v>
      </c>
      <c r="B29" s="363" t="e">
        <f>IF(AND(D26&gt;=0,D23&gt;=0),"企业经营状况良好，可适当采取扩张策略!",IF(AND(D26&lt;0,D23&gt;=0),"企业财务状况良好，但营销能力不足，应加强营销管理，增加企业的创造利润的能力!",IF(AND(D26&gt;=0,D23&lt;0),"企业财务状况已露出险兆，应积极创造自有资金进行开源节流、改善财务结构，成为首要任务!","企业的经营已经陷入危机境地，随时都有倒闭的危险!")))</f>
        <v>#DIV/0!</v>
      </c>
      <c r="C29" s="363"/>
      <c r="D29" s="363"/>
      <c r="E29" s="347"/>
      <c r="F29" s="347"/>
      <c r="G29" s="347"/>
      <c r="H29" s="347"/>
      <c r="I29" s="347"/>
      <c r="J29" s="347"/>
      <c r="K29" s="347"/>
      <c r="L29" s="347"/>
      <c r="M29" s="347"/>
      <c r="N29" s="347"/>
      <c r="O29" s="347"/>
      <c r="P29" s="347"/>
      <c r="Q29" s="347"/>
      <c r="R29" s="347"/>
      <c r="S29" s="347"/>
      <c r="T29" s="347"/>
      <c r="U29" s="347"/>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c r="BX29" s="347"/>
      <c r="BY29" s="347"/>
      <c r="BZ29" s="347"/>
      <c r="CA29" s="347"/>
      <c r="CB29" s="347"/>
      <c r="CC29" s="347"/>
      <c r="CD29" s="347"/>
      <c r="CE29" s="347"/>
      <c r="CF29" s="347"/>
      <c r="CG29" s="347"/>
      <c r="CH29" s="347"/>
      <c r="CI29" s="347"/>
      <c r="CJ29" s="347"/>
      <c r="CK29" s="347"/>
      <c r="CL29" s="347"/>
      <c r="CM29" s="347"/>
      <c r="CN29" s="347"/>
      <c r="CO29" s="347"/>
      <c r="CP29" s="347"/>
      <c r="CQ29" s="347"/>
      <c r="CR29" s="347"/>
      <c r="CS29" s="347"/>
      <c r="CT29" s="347"/>
      <c r="CU29" s="347"/>
      <c r="CV29" s="347"/>
      <c r="CW29" s="347"/>
      <c r="CX29" s="347"/>
      <c r="CY29" s="347"/>
      <c r="CZ29" s="347"/>
      <c r="DA29" s="347"/>
      <c r="DB29" s="347"/>
      <c r="DC29" s="347"/>
      <c r="DD29" s="347"/>
      <c r="DE29" s="347"/>
      <c r="DF29" s="347"/>
      <c r="DG29" s="347"/>
      <c r="DH29" s="347"/>
      <c r="DI29" s="347"/>
      <c r="DJ29" s="347"/>
      <c r="DK29" s="347"/>
      <c r="DL29" s="347"/>
      <c r="DM29" s="347"/>
      <c r="DN29" s="347"/>
      <c r="DO29" s="347"/>
      <c r="DP29" s="347"/>
      <c r="DQ29" s="347"/>
      <c r="DR29" s="347"/>
      <c r="DS29" s="347"/>
      <c r="DT29" s="347"/>
      <c r="DU29" s="347"/>
      <c r="DV29" s="347"/>
      <c r="DW29" s="347"/>
      <c r="DX29" s="347"/>
      <c r="DY29" s="347"/>
      <c r="DZ29" s="347"/>
      <c r="EA29" s="347"/>
      <c r="EB29" s="347"/>
      <c r="EC29" s="347"/>
      <c r="ED29" s="347"/>
      <c r="EE29" s="347"/>
      <c r="EF29" s="347"/>
      <c r="EG29" s="347"/>
      <c r="EH29" s="347"/>
      <c r="EI29" s="347"/>
      <c r="EJ29" s="347"/>
      <c r="EK29" s="347"/>
      <c r="EL29" s="347"/>
      <c r="EM29" s="347"/>
      <c r="EN29" s="347"/>
      <c r="EO29" s="347"/>
      <c r="EP29" s="347"/>
      <c r="EQ29" s="347"/>
      <c r="ER29" s="347"/>
      <c r="ES29" s="347"/>
      <c r="ET29" s="347"/>
      <c r="EU29" s="347"/>
      <c r="EV29" s="347"/>
      <c r="EW29" s="347"/>
      <c r="EX29" s="347"/>
      <c r="EY29" s="347"/>
      <c r="EZ29" s="347"/>
      <c r="FA29" s="347"/>
      <c r="FB29" s="347"/>
      <c r="FC29" s="347"/>
      <c r="FD29" s="347"/>
      <c r="FE29" s="347"/>
      <c r="FF29" s="347"/>
      <c r="FG29" s="347"/>
      <c r="FH29" s="347"/>
      <c r="FI29" s="347"/>
      <c r="FJ29" s="347"/>
      <c r="FK29" s="347"/>
      <c r="FL29" s="347"/>
      <c r="FM29" s="347"/>
      <c r="FN29" s="347"/>
      <c r="FO29" s="347"/>
      <c r="FP29" s="347"/>
      <c r="FQ29" s="347"/>
      <c r="FR29" s="347"/>
      <c r="FS29" s="347"/>
      <c r="FT29" s="347"/>
      <c r="FU29" s="347"/>
      <c r="FV29" s="347"/>
      <c r="FW29" s="347"/>
      <c r="FX29" s="347"/>
      <c r="FY29" s="347"/>
      <c r="FZ29" s="347"/>
      <c r="GA29" s="347"/>
      <c r="GB29" s="347"/>
      <c r="GC29" s="347"/>
      <c r="GD29" s="347"/>
      <c r="GE29" s="347"/>
      <c r="GF29" s="347"/>
      <c r="GG29" s="347"/>
      <c r="GH29" s="347"/>
      <c r="GI29" s="347"/>
      <c r="GJ29" s="347"/>
      <c r="GK29" s="347"/>
      <c r="GL29" s="347"/>
      <c r="GM29" s="347"/>
      <c r="GN29" s="347"/>
      <c r="GO29" s="347"/>
      <c r="GP29" s="347"/>
      <c r="GQ29" s="347"/>
      <c r="GR29" s="347"/>
      <c r="GS29" s="347"/>
      <c r="GT29" s="347"/>
      <c r="GU29" s="347"/>
      <c r="GV29" s="347"/>
      <c r="GW29" s="347"/>
      <c r="GX29" s="347"/>
      <c r="GY29" s="347"/>
      <c r="GZ29" s="347"/>
      <c r="HA29" s="347"/>
      <c r="HB29" s="347"/>
      <c r="HC29" s="347"/>
      <c r="HD29" s="347"/>
      <c r="HE29" s="347"/>
      <c r="HF29" s="347"/>
      <c r="HG29" s="347"/>
      <c r="HH29" s="347"/>
      <c r="HI29" s="347"/>
      <c r="HJ29" s="347"/>
      <c r="HK29" s="347"/>
      <c r="HL29" s="347"/>
      <c r="HM29" s="347"/>
      <c r="HN29" s="347"/>
      <c r="HO29" s="347"/>
      <c r="HP29" s="347"/>
      <c r="HQ29" s="347"/>
      <c r="HR29" s="347"/>
      <c r="HS29" s="347"/>
      <c r="HT29" s="347"/>
      <c r="HU29" s="347"/>
      <c r="HV29" s="347"/>
      <c r="HW29" s="347"/>
      <c r="HX29" s="347"/>
      <c r="HY29" s="347"/>
      <c r="HZ29" s="347"/>
      <c r="IA29" s="347"/>
      <c r="IB29" s="347"/>
      <c r="IC29" s="347"/>
      <c r="ID29" s="347"/>
      <c r="IE29" s="347"/>
      <c r="IF29" s="347"/>
      <c r="IG29" s="347"/>
      <c r="IH29" s="347"/>
      <c r="II29" s="347"/>
      <c r="IJ29" s="347"/>
      <c r="IK29" s="347"/>
      <c r="IL29" s="347"/>
      <c r="IM29" s="347"/>
      <c r="IN29" s="347"/>
      <c r="IO29" s="347"/>
      <c r="IP29" s="347"/>
      <c r="IQ29" s="347"/>
      <c r="IR29" s="347"/>
      <c r="IS29" s="347"/>
      <c r="IT29" s="347"/>
      <c r="IU29" s="347"/>
      <c r="IV29" s="331"/>
    </row>
    <row r="30" s="93" customFormat="1" spans="1:256">
      <c r="A30" s="362"/>
      <c r="B30" s="363"/>
      <c r="C30" s="363"/>
      <c r="D30" s="363"/>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c r="BA30" s="347"/>
      <c r="BB30" s="347"/>
      <c r="BC30" s="347"/>
      <c r="BD30" s="347"/>
      <c r="BE30" s="347"/>
      <c r="BF30" s="347"/>
      <c r="BG30" s="347"/>
      <c r="BH30" s="347"/>
      <c r="BI30" s="347"/>
      <c r="BJ30" s="347"/>
      <c r="BK30" s="347"/>
      <c r="BL30" s="347"/>
      <c r="BM30" s="347"/>
      <c r="BN30" s="347"/>
      <c r="BO30" s="347"/>
      <c r="BP30" s="347"/>
      <c r="BQ30" s="347"/>
      <c r="BR30" s="347"/>
      <c r="BS30" s="347"/>
      <c r="BT30" s="347"/>
      <c r="BU30" s="347"/>
      <c r="BV30" s="347"/>
      <c r="BW30" s="347"/>
      <c r="BX30" s="347"/>
      <c r="BY30" s="347"/>
      <c r="BZ30" s="347"/>
      <c r="CA30" s="347"/>
      <c r="CB30" s="347"/>
      <c r="CC30" s="347"/>
      <c r="CD30" s="347"/>
      <c r="CE30" s="347"/>
      <c r="CF30" s="347"/>
      <c r="CG30" s="347"/>
      <c r="CH30" s="347"/>
      <c r="CI30" s="347"/>
      <c r="CJ30" s="347"/>
      <c r="CK30" s="347"/>
      <c r="CL30" s="347"/>
      <c r="CM30" s="347"/>
      <c r="CN30" s="347"/>
      <c r="CO30" s="347"/>
      <c r="CP30" s="347"/>
      <c r="CQ30" s="347"/>
      <c r="CR30" s="347"/>
      <c r="CS30" s="347"/>
      <c r="CT30" s="347"/>
      <c r="CU30" s="347"/>
      <c r="CV30" s="347"/>
      <c r="CW30" s="347"/>
      <c r="CX30" s="347"/>
      <c r="CY30" s="347"/>
      <c r="CZ30" s="347"/>
      <c r="DA30" s="347"/>
      <c r="DB30" s="347"/>
      <c r="DC30" s="347"/>
      <c r="DD30" s="347"/>
      <c r="DE30" s="347"/>
      <c r="DF30" s="347"/>
      <c r="DG30" s="347"/>
      <c r="DH30" s="347"/>
      <c r="DI30" s="347"/>
      <c r="DJ30" s="347"/>
      <c r="DK30" s="347"/>
      <c r="DL30" s="347"/>
      <c r="DM30" s="347"/>
      <c r="DN30" s="347"/>
      <c r="DO30" s="347"/>
      <c r="DP30" s="347"/>
      <c r="DQ30" s="347"/>
      <c r="DR30" s="347"/>
      <c r="DS30" s="347"/>
      <c r="DT30" s="347"/>
      <c r="DU30" s="347"/>
      <c r="DV30" s="347"/>
      <c r="DW30" s="347"/>
      <c r="DX30" s="347"/>
      <c r="DY30" s="347"/>
      <c r="DZ30" s="347"/>
      <c r="EA30" s="347"/>
      <c r="EB30" s="347"/>
      <c r="EC30" s="347"/>
      <c r="ED30" s="347"/>
      <c r="EE30" s="347"/>
      <c r="EF30" s="347"/>
      <c r="EG30" s="347"/>
      <c r="EH30" s="347"/>
      <c r="EI30" s="347"/>
      <c r="EJ30" s="347"/>
      <c r="EK30" s="347"/>
      <c r="EL30" s="347"/>
      <c r="EM30" s="347"/>
      <c r="EN30" s="347"/>
      <c r="EO30" s="347"/>
      <c r="EP30" s="347"/>
      <c r="EQ30" s="347"/>
      <c r="ER30" s="347"/>
      <c r="ES30" s="347"/>
      <c r="ET30" s="347"/>
      <c r="EU30" s="347"/>
      <c r="EV30" s="347"/>
      <c r="EW30" s="347"/>
      <c r="EX30" s="347"/>
      <c r="EY30" s="347"/>
      <c r="EZ30" s="347"/>
      <c r="FA30" s="347"/>
      <c r="FB30" s="347"/>
      <c r="FC30" s="347"/>
      <c r="FD30" s="347"/>
      <c r="FE30" s="347"/>
      <c r="FF30" s="347"/>
      <c r="FG30" s="347"/>
      <c r="FH30" s="347"/>
      <c r="FI30" s="347"/>
      <c r="FJ30" s="347"/>
      <c r="FK30" s="347"/>
      <c r="FL30" s="347"/>
      <c r="FM30" s="347"/>
      <c r="FN30" s="347"/>
      <c r="FO30" s="347"/>
      <c r="FP30" s="347"/>
      <c r="FQ30" s="347"/>
      <c r="FR30" s="347"/>
      <c r="FS30" s="347"/>
      <c r="FT30" s="347"/>
      <c r="FU30" s="347"/>
      <c r="FV30" s="347"/>
      <c r="FW30" s="347"/>
      <c r="FX30" s="347"/>
      <c r="FY30" s="347"/>
      <c r="FZ30" s="347"/>
      <c r="GA30" s="347"/>
      <c r="GB30" s="347"/>
      <c r="GC30" s="347"/>
      <c r="GD30" s="347"/>
      <c r="GE30" s="347"/>
      <c r="GF30" s="347"/>
      <c r="GG30" s="347"/>
      <c r="GH30" s="347"/>
      <c r="GI30" s="347"/>
      <c r="GJ30" s="347"/>
      <c r="GK30" s="347"/>
      <c r="GL30" s="347"/>
      <c r="GM30" s="347"/>
      <c r="GN30" s="347"/>
      <c r="GO30" s="347"/>
      <c r="GP30" s="347"/>
      <c r="GQ30" s="347"/>
      <c r="GR30" s="347"/>
      <c r="GS30" s="347"/>
      <c r="GT30" s="347"/>
      <c r="GU30" s="347"/>
      <c r="GV30" s="347"/>
      <c r="GW30" s="347"/>
      <c r="GX30" s="347"/>
      <c r="GY30" s="347"/>
      <c r="GZ30" s="347"/>
      <c r="HA30" s="347"/>
      <c r="HB30" s="347"/>
      <c r="HC30" s="347"/>
      <c r="HD30" s="347"/>
      <c r="HE30" s="347"/>
      <c r="HF30" s="347"/>
      <c r="HG30" s="347"/>
      <c r="HH30" s="347"/>
      <c r="HI30" s="347"/>
      <c r="HJ30" s="347"/>
      <c r="HK30" s="347"/>
      <c r="HL30" s="347"/>
      <c r="HM30" s="347"/>
      <c r="HN30" s="347"/>
      <c r="HO30" s="347"/>
      <c r="HP30" s="347"/>
      <c r="HQ30" s="347"/>
      <c r="HR30" s="347"/>
      <c r="HS30" s="347"/>
      <c r="HT30" s="347"/>
      <c r="HU30" s="347"/>
      <c r="HV30" s="347"/>
      <c r="HW30" s="347"/>
      <c r="HX30" s="347"/>
      <c r="HY30" s="347"/>
      <c r="HZ30" s="347"/>
      <c r="IA30" s="347"/>
      <c r="IB30" s="347"/>
      <c r="IC30" s="347"/>
      <c r="ID30" s="347"/>
      <c r="IE30" s="347"/>
      <c r="IF30" s="347"/>
      <c r="IG30" s="347"/>
      <c r="IH30" s="347"/>
      <c r="II30" s="347"/>
      <c r="IJ30" s="347"/>
      <c r="IK30" s="347"/>
      <c r="IL30" s="347"/>
      <c r="IM30" s="347"/>
      <c r="IN30" s="347"/>
      <c r="IO30" s="347"/>
      <c r="IP30" s="347"/>
      <c r="IQ30" s="347"/>
      <c r="IR30" s="347"/>
      <c r="IS30" s="347"/>
      <c r="IT30" s="347"/>
      <c r="IU30" s="347"/>
      <c r="IV30" s="331"/>
    </row>
    <row r="31" s="93" customFormat="1" ht="20.1" customHeight="1" spans="1:256">
      <c r="A31" s="364"/>
      <c r="B31" s="364"/>
      <c r="C31" s="364"/>
      <c r="D31" s="364"/>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c r="BA31" s="347"/>
      <c r="BB31" s="347"/>
      <c r="BC31" s="347"/>
      <c r="BD31" s="347"/>
      <c r="BE31" s="347"/>
      <c r="BF31" s="347"/>
      <c r="BG31" s="347"/>
      <c r="BH31" s="347"/>
      <c r="BI31" s="347"/>
      <c r="BJ31" s="347"/>
      <c r="BK31" s="347"/>
      <c r="BL31" s="347"/>
      <c r="BM31" s="347"/>
      <c r="BN31" s="347"/>
      <c r="BO31" s="347"/>
      <c r="BP31" s="347"/>
      <c r="BQ31" s="347"/>
      <c r="BR31" s="347"/>
      <c r="BS31" s="347"/>
      <c r="BT31" s="347"/>
      <c r="BU31" s="347"/>
      <c r="BV31" s="347"/>
      <c r="BW31" s="347"/>
      <c r="BX31" s="347"/>
      <c r="BY31" s="347"/>
      <c r="BZ31" s="347"/>
      <c r="CA31" s="347"/>
      <c r="CB31" s="347"/>
      <c r="CC31" s="347"/>
      <c r="CD31" s="347"/>
      <c r="CE31" s="347"/>
      <c r="CF31" s="347"/>
      <c r="CG31" s="347"/>
      <c r="CH31" s="347"/>
      <c r="CI31" s="347"/>
      <c r="CJ31" s="347"/>
      <c r="CK31" s="347"/>
      <c r="CL31" s="347"/>
      <c r="CM31" s="347"/>
      <c r="CN31" s="347"/>
      <c r="CO31" s="347"/>
      <c r="CP31" s="347"/>
      <c r="CQ31" s="347"/>
      <c r="CR31" s="347"/>
      <c r="CS31" s="347"/>
      <c r="CT31" s="347"/>
      <c r="CU31" s="347"/>
      <c r="CV31" s="347"/>
      <c r="CW31" s="347"/>
      <c r="CX31" s="347"/>
      <c r="CY31" s="347"/>
      <c r="CZ31" s="347"/>
      <c r="DA31" s="347"/>
      <c r="DB31" s="347"/>
      <c r="DC31" s="347"/>
      <c r="DD31" s="347"/>
      <c r="DE31" s="347"/>
      <c r="DF31" s="347"/>
      <c r="DG31" s="347"/>
      <c r="DH31" s="347"/>
      <c r="DI31" s="347"/>
      <c r="DJ31" s="347"/>
      <c r="DK31" s="347"/>
      <c r="DL31" s="347"/>
      <c r="DM31" s="347"/>
      <c r="DN31" s="347"/>
      <c r="DO31" s="347"/>
      <c r="DP31" s="347"/>
      <c r="DQ31" s="347"/>
      <c r="DR31" s="347"/>
      <c r="DS31" s="347"/>
      <c r="DT31" s="347"/>
      <c r="DU31" s="347"/>
      <c r="DV31" s="347"/>
      <c r="DW31" s="347"/>
      <c r="DX31" s="347"/>
      <c r="DY31" s="347"/>
      <c r="DZ31" s="347"/>
      <c r="EA31" s="347"/>
      <c r="EB31" s="347"/>
      <c r="EC31" s="347"/>
      <c r="ED31" s="347"/>
      <c r="EE31" s="347"/>
      <c r="EF31" s="347"/>
      <c r="EG31" s="347"/>
      <c r="EH31" s="347"/>
      <c r="EI31" s="347"/>
      <c r="EJ31" s="347"/>
      <c r="EK31" s="347"/>
      <c r="EL31" s="347"/>
      <c r="EM31" s="347"/>
      <c r="EN31" s="347"/>
      <c r="EO31" s="347"/>
      <c r="EP31" s="347"/>
      <c r="EQ31" s="347"/>
      <c r="ER31" s="347"/>
      <c r="ES31" s="347"/>
      <c r="ET31" s="347"/>
      <c r="EU31" s="347"/>
      <c r="EV31" s="347"/>
      <c r="EW31" s="347"/>
      <c r="EX31" s="347"/>
      <c r="EY31" s="347"/>
      <c r="EZ31" s="347"/>
      <c r="FA31" s="347"/>
      <c r="FB31" s="347"/>
      <c r="FC31" s="347"/>
      <c r="FD31" s="347"/>
      <c r="FE31" s="347"/>
      <c r="FF31" s="347"/>
      <c r="FG31" s="347"/>
      <c r="FH31" s="347"/>
      <c r="FI31" s="347"/>
      <c r="FJ31" s="347"/>
      <c r="FK31" s="347"/>
      <c r="FL31" s="347"/>
      <c r="FM31" s="347"/>
      <c r="FN31" s="347"/>
      <c r="FO31" s="347"/>
      <c r="FP31" s="347"/>
      <c r="FQ31" s="347"/>
      <c r="FR31" s="347"/>
      <c r="FS31" s="347"/>
      <c r="FT31" s="347"/>
      <c r="FU31" s="347"/>
      <c r="FV31" s="347"/>
      <c r="FW31" s="347"/>
      <c r="FX31" s="347"/>
      <c r="FY31" s="347"/>
      <c r="FZ31" s="347"/>
      <c r="GA31" s="347"/>
      <c r="GB31" s="347"/>
      <c r="GC31" s="347"/>
      <c r="GD31" s="347"/>
      <c r="GE31" s="347"/>
      <c r="GF31" s="347"/>
      <c r="GG31" s="347"/>
      <c r="GH31" s="347"/>
      <c r="GI31" s="347"/>
      <c r="GJ31" s="347"/>
      <c r="GK31" s="347"/>
      <c r="GL31" s="347"/>
      <c r="GM31" s="347"/>
      <c r="GN31" s="347"/>
      <c r="GO31" s="347"/>
      <c r="GP31" s="347"/>
      <c r="GQ31" s="347"/>
      <c r="GR31" s="347"/>
      <c r="GS31" s="347"/>
      <c r="GT31" s="347"/>
      <c r="GU31" s="347"/>
      <c r="GV31" s="347"/>
      <c r="GW31" s="347"/>
      <c r="GX31" s="347"/>
      <c r="GY31" s="347"/>
      <c r="GZ31" s="347"/>
      <c r="HA31" s="347"/>
      <c r="HB31" s="347"/>
      <c r="HC31" s="347"/>
      <c r="HD31" s="347"/>
      <c r="HE31" s="347"/>
      <c r="HF31" s="347"/>
      <c r="HG31" s="347"/>
      <c r="HH31" s="347"/>
      <c r="HI31" s="347"/>
      <c r="HJ31" s="347"/>
      <c r="HK31" s="347"/>
      <c r="HL31" s="347"/>
      <c r="HM31" s="347"/>
      <c r="HN31" s="347"/>
      <c r="HO31" s="347"/>
      <c r="HP31" s="347"/>
      <c r="HQ31" s="347"/>
      <c r="HR31" s="347"/>
      <c r="HS31" s="347"/>
      <c r="HT31" s="347"/>
      <c r="HU31" s="347"/>
      <c r="HV31" s="347"/>
      <c r="HW31" s="347"/>
      <c r="HX31" s="347"/>
      <c r="HY31" s="347"/>
      <c r="HZ31" s="347"/>
      <c r="IA31" s="347"/>
      <c r="IB31" s="347"/>
      <c r="IC31" s="347"/>
      <c r="ID31" s="347"/>
      <c r="IE31" s="347"/>
      <c r="IF31" s="347"/>
      <c r="IG31" s="347"/>
      <c r="IH31" s="347"/>
      <c r="II31" s="347"/>
      <c r="IJ31" s="347"/>
      <c r="IK31" s="347"/>
      <c r="IL31" s="347"/>
      <c r="IM31" s="347"/>
      <c r="IN31" s="347"/>
      <c r="IO31" s="347"/>
      <c r="IP31" s="347"/>
      <c r="IQ31" s="347"/>
      <c r="IR31" s="347"/>
      <c r="IS31" s="347"/>
      <c r="IT31" s="347"/>
      <c r="IU31" s="347"/>
      <c r="IV31" s="331"/>
    </row>
    <row r="32" s="93" customFormat="1" ht="20.1" customHeight="1" spans="1:256">
      <c r="A32" s="347"/>
      <c r="B32" s="348"/>
      <c r="C32" s="347"/>
      <c r="D32" s="347"/>
      <c r="E32" s="347"/>
      <c r="F32" s="347"/>
      <c r="G32" s="347"/>
      <c r="H32" s="347"/>
      <c r="I32" s="347"/>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c r="BX32" s="347"/>
      <c r="BY32" s="347"/>
      <c r="BZ32" s="347"/>
      <c r="CA32" s="347"/>
      <c r="CB32" s="347"/>
      <c r="CC32" s="347"/>
      <c r="CD32" s="347"/>
      <c r="CE32" s="347"/>
      <c r="CF32" s="347"/>
      <c r="CG32" s="347"/>
      <c r="CH32" s="347"/>
      <c r="CI32" s="347"/>
      <c r="CJ32" s="347"/>
      <c r="CK32" s="347"/>
      <c r="CL32" s="347"/>
      <c r="CM32" s="347"/>
      <c r="CN32" s="347"/>
      <c r="CO32" s="347"/>
      <c r="CP32" s="347"/>
      <c r="CQ32" s="347"/>
      <c r="CR32" s="347"/>
      <c r="CS32" s="347"/>
      <c r="CT32" s="347"/>
      <c r="CU32" s="347"/>
      <c r="CV32" s="347"/>
      <c r="CW32" s="347"/>
      <c r="CX32" s="347"/>
      <c r="CY32" s="347"/>
      <c r="CZ32" s="347"/>
      <c r="DA32" s="347"/>
      <c r="DB32" s="347"/>
      <c r="DC32" s="347"/>
      <c r="DD32" s="347"/>
      <c r="DE32" s="347"/>
      <c r="DF32" s="347"/>
      <c r="DG32" s="347"/>
      <c r="DH32" s="347"/>
      <c r="DI32" s="347"/>
      <c r="DJ32" s="347"/>
      <c r="DK32" s="347"/>
      <c r="DL32" s="347"/>
      <c r="DM32" s="347"/>
      <c r="DN32" s="347"/>
      <c r="DO32" s="347"/>
      <c r="DP32" s="347"/>
      <c r="DQ32" s="347"/>
      <c r="DR32" s="347"/>
      <c r="DS32" s="347"/>
      <c r="DT32" s="347"/>
      <c r="DU32" s="347"/>
      <c r="DV32" s="347"/>
      <c r="DW32" s="347"/>
      <c r="DX32" s="347"/>
      <c r="DY32" s="347"/>
      <c r="DZ32" s="347"/>
      <c r="EA32" s="347"/>
      <c r="EB32" s="347"/>
      <c r="EC32" s="347"/>
      <c r="ED32" s="347"/>
      <c r="EE32" s="347"/>
      <c r="EF32" s="347"/>
      <c r="EG32" s="347"/>
      <c r="EH32" s="347"/>
      <c r="EI32" s="347"/>
      <c r="EJ32" s="347"/>
      <c r="EK32" s="347"/>
      <c r="EL32" s="347"/>
      <c r="EM32" s="347"/>
      <c r="EN32" s="347"/>
      <c r="EO32" s="347"/>
      <c r="EP32" s="347"/>
      <c r="EQ32" s="347"/>
      <c r="ER32" s="347"/>
      <c r="ES32" s="347"/>
      <c r="ET32" s="347"/>
      <c r="EU32" s="347"/>
      <c r="EV32" s="347"/>
      <c r="EW32" s="347"/>
      <c r="EX32" s="347"/>
      <c r="EY32" s="347"/>
      <c r="EZ32" s="347"/>
      <c r="FA32" s="347"/>
      <c r="FB32" s="347"/>
      <c r="FC32" s="347"/>
      <c r="FD32" s="347"/>
      <c r="FE32" s="347"/>
      <c r="FF32" s="347"/>
      <c r="FG32" s="347"/>
      <c r="FH32" s="347"/>
      <c r="FI32" s="347"/>
      <c r="FJ32" s="347"/>
      <c r="FK32" s="347"/>
      <c r="FL32" s="347"/>
      <c r="FM32" s="347"/>
      <c r="FN32" s="347"/>
      <c r="FO32" s="347"/>
      <c r="FP32" s="347"/>
      <c r="FQ32" s="347"/>
      <c r="FR32" s="347"/>
      <c r="FS32" s="347"/>
      <c r="FT32" s="347"/>
      <c r="FU32" s="347"/>
      <c r="FV32" s="347"/>
      <c r="FW32" s="347"/>
      <c r="FX32" s="347"/>
      <c r="FY32" s="347"/>
      <c r="FZ32" s="347"/>
      <c r="GA32" s="347"/>
      <c r="GB32" s="347"/>
      <c r="GC32" s="347"/>
      <c r="GD32" s="347"/>
      <c r="GE32" s="347"/>
      <c r="GF32" s="347"/>
      <c r="GG32" s="347"/>
      <c r="GH32" s="347"/>
      <c r="GI32" s="347"/>
      <c r="GJ32" s="347"/>
      <c r="GK32" s="347"/>
      <c r="GL32" s="347"/>
      <c r="GM32" s="347"/>
      <c r="GN32" s="347"/>
      <c r="GO32" s="347"/>
      <c r="GP32" s="347"/>
      <c r="GQ32" s="347"/>
      <c r="GR32" s="347"/>
      <c r="GS32" s="347"/>
      <c r="GT32" s="347"/>
      <c r="GU32" s="347"/>
      <c r="GV32" s="347"/>
      <c r="GW32" s="347"/>
      <c r="GX32" s="347"/>
      <c r="GY32" s="347"/>
      <c r="GZ32" s="347"/>
      <c r="HA32" s="347"/>
      <c r="HB32" s="347"/>
      <c r="HC32" s="347"/>
      <c r="HD32" s="347"/>
      <c r="HE32" s="347"/>
      <c r="HF32" s="347"/>
      <c r="HG32" s="347"/>
      <c r="HH32" s="347"/>
      <c r="HI32" s="347"/>
      <c r="HJ32" s="347"/>
      <c r="HK32" s="347"/>
      <c r="HL32" s="347"/>
      <c r="HM32" s="347"/>
      <c r="HN32" s="347"/>
      <c r="HO32" s="347"/>
      <c r="HP32" s="347"/>
      <c r="HQ32" s="347"/>
      <c r="HR32" s="347"/>
      <c r="HS32" s="347"/>
      <c r="HT32" s="347"/>
      <c r="HU32" s="347"/>
      <c r="HV32" s="347"/>
      <c r="HW32" s="347"/>
      <c r="HX32" s="347"/>
      <c r="HY32" s="347"/>
      <c r="HZ32" s="347"/>
      <c r="IA32" s="347"/>
      <c r="IB32" s="347"/>
      <c r="IC32" s="347"/>
      <c r="ID32" s="347"/>
      <c r="IE32" s="347"/>
      <c r="IF32" s="347"/>
      <c r="IG32" s="347"/>
      <c r="IH32" s="347"/>
      <c r="II32" s="347"/>
      <c r="IJ32" s="347"/>
      <c r="IK32" s="347"/>
      <c r="IL32" s="347"/>
      <c r="IM32" s="347"/>
      <c r="IN32" s="347"/>
      <c r="IO32" s="347"/>
      <c r="IP32" s="347"/>
      <c r="IQ32" s="347"/>
      <c r="IR32" s="347"/>
      <c r="IS32" s="347"/>
      <c r="IT32" s="347"/>
      <c r="IU32" s="347"/>
      <c r="IV32" s="331"/>
    </row>
    <row r="33" s="93" customFormat="1" ht="20.1" customHeight="1" spans="1:256">
      <c r="A33" s="347"/>
      <c r="B33" s="348"/>
      <c r="C33" s="347"/>
      <c r="D33" s="347"/>
      <c r="E33" s="347"/>
      <c r="F33" s="347"/>
      <c r="G33" s="347"/>
      <c r="H33" s="347"/>
      <c r="I33" s="347"/>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347"/>
      <c r="BD33" s="347"/>
      <c r="BE33" s="347"/>
      <c r="BF33" s="347"/>
      <c r="BG33" s="347"/>
      <c r="BH33" s="347"/>
      <c r="BI33" s="347"/>
      <c r="BJ33" s="347"/>
      <c r="BK33" s="347"/>
      <c r="BL33" s="347"/>
      <c r="BM33" s="347"/>
      <c r="BN33" s="347"/>
      <c r="BO33" s="347"/>
      <c r="BP33" s="347"/>
      <c r="BQ33" s="347"/>
      <c r="BR33" s="347"/>
      <c r="BS33" s="347"/>
      <c r="BT33" s="347"/>
      <c r="BU33" s="347"/>
      <c r="BV33" s="347"/>
      <c r="BW33" s="347"/>
      <c r="BX33" s="347"/>
      <c r="BY33" s="347"/>
      <c r="BZ33" s="347"/>
      <c r="CA33" s="347"/>
      <c r="CB33" s="347"/>
      <c r="CC33" s="347"/>
      <c r="CD33" s="347"/>
      <c r="CE33" s="347"/>
      <c r="CF33" s="347"/>
      <c r="CG33" s="347"/>
      <c r="CH33" s="347"/>
      <c r="CI33" s="347"/>
      <c r="CJ33" s="347"/>
      <c r="CK33" s="347"/>
      <c r="CL33" s="347"/>
      <c r="CM33" s="347"/>
      <c r="CN33" s="347"/>
      <c r="CO33" s="347"/>
      <c r="CP33" s="347"/>
      <c r="CQ33" s="347"/>
      <c r="CR33" s="347"/>
      <c r="CS33" s="347"/>
      <c r="CT33" s="347"/>
      <c r="CU33" s="347"/>
      <c r="CV33" s="347"/>
      <c r="CW33" s="347"/>
      <c r="CX33" s="347"/>
      <c r="CY33" s="347"/>
      <c r="CZ33" s="347"/>
      <c r="DA33" s="347"/>
      <c r="DB33" s="347"/>
      <c r="DC33" s="347"/>
      <c r="DD33" s="347"/>
      <c r="DE33" s="347"/>
      <c r="DF33" s="347"/>
      <c r="DG33" s="347"/>
      <c r="DH33" s="347"/>
      <c r="DI33" s="347"/>
      <c r="DJ33" s="347"/>
      <c r="DK33" s="347"/>
      <c r="DL33" s="347"/>
      <c r="DM33" s="347"/>
      <c r="DN33" s="347"/>
      <c r="DO33" s="347"/>
      <c r="DP33" s="347"/>
      <c r="DQ33" s="347"/>
      <c r="DR33" s="347"/>
      <c r="DS33" s="347"/>
      <c r="DT33" s="347"/>
      <c r="DU33" s="347"/>
      <c r="DV33" s="347"/>
      <c r="DW33" s="347"/>
      <c r="DX33" s="347"/>
      <c r="DY33" s="347"/>
      <c r="DZ33" s="347"/>
      <c r="EA33" s="347"/>
      <c r="EB33" s="347"/>
      <c r="EC33" s="347"/>
      <c r="ED33" s="347"/>
      <c r="EE33" s="347"/>
      <c r="EF33" s="347"/>
      <c r="EG33" s="347"/>
      <c r="EH33" s="347"/>
      <c r="EI33" s="347"/>
      <c r="EJ33" s="347"/>
      <c r="EK33" s="347"/>
      <c r="EL33" s="347"/>
      <c r="EM33" s="347"/>
      <c r="EN33" s="347"/>
      <c r="EO33" s="347"/>
      <c r="EP33" s="347"/>
      <c r="EQ33" s="347"/>
      <c r="ER33" s="347"/>
      <c r="ES33" s="347"/>
      <c r="ET33" s="347"/>
      <c r="EU33" s="347"/>
      <c r="EV33" s="347"/>
      <c r="EW33" s="347"/>
      <c r="EX33" s="347"/>
      <c r="EY33" s="347"/>
      <c r="EZ33" s="347"/>
      <c r="FA33" s="347"/>
      <c r="FB33" s="347"/>
      <c r="FC33" s="347"/>
      <c r="FD33" s="347"/>
      <c r="FE33" s="347"/>
      <c r="FF33" s="347"/>
      <c r="FG33" s="347"/>
      <c r="FH33" s="347"/>
      <c r="FI33" s="347"/>
      <c r="FJ33" s="347"/>
      <c r="FK33" s="347"/>
      <c r="FL33" s="347"/>
      <c r="FM33" s="347"/>
      <c r="FN33" s="347"/>
      <c r="FO33" s="347"/>
      <c r="FP33" s="347"/>
      <c r="FQ33" s="347"/>
      <c r="FR33" s="347"/>
      <c r="FS33" s="347"/>
      <c r="FT33" s="347"/>
      <c r="FU33" s="347"/>
      <c r="FV33" s="347"/>
      <c r="FW33" s="347"/>
      <c r="FX33" s="347"/>
      <c r="FY33" s="347"/>
      <c r="FZ33" s="347"/>
      <c r="GA33" s="347"/>
      <c r="GB33" s="347"/>
      <c r="GC33" s="347"/>
      <c r="GD33" s="347"/>
      <c r="GE33" s="347"/>
      <c r="GF33" s="347"/>
      <c r="GG33" s="347"/>
      <c r="GH33" s="347"/>
      <c r="GI33" s="347"/>
      <c r="GJ33" s="347"/>
      <c r="GK33" s="347"/>
      <c r="GL33" s="347"/>
      <c r="GM33" s="347"/>
      <c r="GN33" s="347"/>
      <c r="GO33" s="347"/>
      <c r="GP33" s="347"/>
      <c r="GQ33" s="347"/>
      <c r="GR33" s="347"/>
      <c r="GS33" s="347"/>
      <c r="GT33" s="347"/>
      <c r="GU33" s="347"/>
      <c r="GV33" s="347"/>
      <c r="GW33" s="347"/>
      <c r="GX33" s="347"/>
      <c r="GY33" s="347"/>
      <c r="GZ33" s="347"/>
      <c r="HA33" s="347"/>
      <c r="HB33" s="347"/>
      <c r="HC33" s="347"/>
      <c r="HD33" s="347"/>
      <c r="HE33" s="347"/>
      <c r="HF33" s="347"/>
      <c r="HG33" s="347"/>
      <c r="HH33" s="347"/>
      <c r="HI33" s="347"/>
      <c r="HJ33" s="347"/>
      <c r="HK33" s="347"/>
      <c r="HL33" s="347"/>
      <c r="HM33" s="347"/>
      <c r="HN33" s="347"/>
      <c r="HO33" s="347"/>
      <c r="HP33" s="347"/>
      <c r="HQ33" s="347"/>
      <c r="HR33" s="347"/>
      <c r="HS33" s="347"/>
      <c r="HT33" s="347"/>
      <c r="HU33" s="347"/>
      <c r="HV33" s="347"/>
      <c r="HW33" s="347"/>
      <c r="HX33" s="347"/>
      <c r="HY33" s="347"/>
      <c r="HZ33" s="347"/>
      <c r="IA33" s="347"/>
      <c r="IB33" s="347"/>
      <c r="IC33" s="347"/>
      <c r="ID33" s="347"/>
      <c r="IE33" s="347"/>
      <c r="IF33" s="347"/>
      <c r="IG33" s="347"/>
      <c r="IH33" s="347"/>
      <c r="II33" s="347"/>
      <c r="IJ33" s="347"/>
      <c r="IK33" s="347"/>
      <c r="IL33" s="347"/>
      <c r="IM33" s="347"/>
      <c r="IN33" s="347"/>
      <c r="IO33" s="347"/>
      <c r="IP33" s="347"/>
      <c r="IQ33" s="347"/>
      <c r="IR33" s="347"/>
      <c r="IS33" s="347"/>
      <c r="IT33" s="347"/>
      <c r="IU33" s="347"/>
      <c r="IV33" s="331"/>
    </row>
    <row r="34" s="93" customFormat="1" ht="20.1" customHeight="1" spans="1:256">
      <c r="A34" s="347"/>
      <c r="B34" s="348"/>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c r="BX34" s="347"/>
      <c r="BY34" s="347"/>
      <c r="BZ34" s="347"/>
      <c r="CA34" s="347"/>
      <c r="CB34" s="347"/>
      <c r="CC34" s="347"/>
      <c r="CD34" s="347"/>
      <c r="CE34" s="347"/>
      <c r="CF34" s="347"/>
      <c r="CG34" s="347"/>
      <c r="CH34" s="347"/>
      <c r="CI34" s="347"/>
      <c r="CJ34" s="347"/>
      <c r="CK34" s="347"/>
      <c r="CL34" s="347"/>
      <c r="CM34" s="347"/>
      <c r="CN34" s="347"/>
      <c r="CO34" s="347"/>
      <c r="CP34" s="347"/>
      <c r="CQ34" s="347"/>
      <c r="CR34" s="347"/>
      <c r="CS34" s="347"/>
      <c r="CT34" s="347"/>
      <c r="CU34" s="347"/>
      <c r="CV34" s="347"/>
      <c r="CW34" s="347"/>
      <c r="CX34" s="347"/>
      <c r="CY34" s="347"/>
      <c r="CZ34" s="347"/>
      <c r="DA34" s="347"/>
      <c r="DB34" s="347"/>
      <c r="DC34" s="347"/>
      <c r="DD34" s="347"/>
      <c r="DE34" s="347"/>
      <c r="DF34" s="347"/>
      <c r="DG34" s="347"/>
      <c r="DH34" s="347"/>
      <c r="DI34" s="347"/>
      <c r="DJ34" s="347"/>
      <c r="DK34" s="347"/>
      <c r="DL34" s="347"/>
      <c r="DM34" s="347"/>
      <c r="DN34" s="347"/>
      <c r="DO34" s="347"/>
      <c r="DP34" s="347"/>
      <c r="DQ34" s="347"/>
      <c r="DR34" s="347"/>
      <c r="DS34" s="347"/>
      <c r="DT34" s="347"/>
      <c r="DU34" s="347"/>
      <c r="DV34" s="347"/>
      <c r="DW34" s="347"/>
      <c r="DX34" s="347"/>
      <c r="DY34" s="347"/>
      <c r="DZ34" s="347"/>
      <c r="EA34" s="347"/>
      <c r="EB34" s="347"/>
      <c r="EC34" s="347"/>
      <c r="ED34" s="347"/>
      <c r="EE34" s="347"/>
      <c r="EF34" s="347"/>
      <c r="EG34" s="347"/>
      <c r="EH34" s="347"/>
      <c r="EI34" s="347"/>
      <c r="EJ34" s="347"/>
      <c r="EK34" s="347"/>
      <c r="EL34" s="347"/>
      <c r="EM34" s="347"/>
      <c r="EN34" s="347"/>
      <c r="EO34" s="347"/>
      <c r="EP34" s="347"/>
      <c r="EQ34" s="347"/>
      <c r="ER34" s="347"/>
      <c r="ES34" s="347"/>
      <c r="ET34" s="347"/>
      <c r="EU34" s="347"/>
      <c r="EV34" s="347"/>
      <c r="EW34" s="347"/>
      <c r="EX34" s="347"/>
      <c r="EY34" s="347"/>
      <c r="EZ34" s="347"/>
      <c r="FA34" s="347"/>
      <c r="FB34" s="347"/>
      <c r="FC34" s="347"/>
      <c r="FD34" s="347"/>
      <c r="FE34" s="347"/>
      <c r="FF34" s="347"/>
      <c r="FG34" s="347"/>
      <c r="FH34" s="347"/>
      <c r="FI34" s="347"/>
      <c r="FJ34" s="347"/>
      <c r="FK34" s="347"/>
      <c r="FL34" s="347"/>
      <c r="FM34" s="347"/>
      <c r="FN34" s="347"/>
      <c r="FO34" s="347"/>
      <c r="FP34" s="347"/>
      <c r="FQ34" s="347"/>
      <c r="FR34" s="347"/>
      <c r="FS34" s="347"/>
      <c r="FT34" s="347"/>
      <c r="FU34" s="347"/>
      <c r="FV34" s="347"/>
      <c r="FW34" s="347"/>
      <c r="FX34" s="347"/>
      <c r="FY34" s="347"/>
      <c r="FZ34" s="347"/>
      <c r="GA34" s="347"/>
      <c r="GB34" s="347"/>
      <c r="GC34" s="347"/>
      <c r="GD34" s="347"/>
      <c r="GE34" s="347"/>
      <c r="GF34" s="347"/>
      <c r="GG34" s="347"/>
      <c r="GH34" s="347"/>
      <c r="GI34" s="347"/>
      <c r="GJ34" s="347"/>
      <c r="GK34" s="347"/>
      <c r="GL34" s="347"/>
      <c r="GM34" s="347"/>
      <c r="GN34" s="347"/>
      <c r="GO34" s="347"/>
      <c r="GP34" s="347"/>
      <c r="GQ34" s="347"/>
      <c r="GR34" s="347"/>
      <c r="GS34" s="347"/>
      <c r="GT34" s="347"/>
      <c r="GU34" s="347"/>
      <c r="GV34" s="347"/>
      <c r="GW34" s="347"/>
      <c r="GX34" s="347"/>
      <c r="GY34" s="347"/>
      <c r="GZ34" s="347"/>
      <c r="HA34" s="347"/>
      <c r="HB34" s="347"/>
      <c r="HC34" s="347"/>
      <c r="HD34" s="347"/>
      <c r="HE34" s="347"/>
      <c r="HF34" s="347"/>
      <c r="HG34" s="347"/>
      <c r="HH34" s="347"/>
      <c r="HI34" s="347"/>
      <c r="HJ34" s="347"/>
      <c r="HK34" s="347"/>
      <c r="HL34" s="347"/>
      <c r="HM34" s="347"/>
      <c r="HN34" s="347"/>
      <c r="HO34" s="347"/>
      <c r="HP34" s="347"/>
      <c r="HQ34" s="347"/>
      <c r="HR34" s="347"/>
      <c r="HS34" s="347"/>
      <c r="HT34" s="347"/>
      <c r="HU34" s="347"/>
      <c r="HV34" s="347"/>
      <c r="HW34" s="347"/>
      <c r="HX34" s="347"/>
      <c r="HY34" s="347"/>
      <c r="HZ34" s="347"/>
      <c r="IA34" s="347"/>
      <c r="IB34" s="347"/>
      <c r="IC34" s="347"/>
      <c r="ID34" s="347"/>
      <c r="IE34" s="347"/>
      <c r="IF34" s="347"/>
      <c r="IG34" s="347"/>
      <c r="IH34" s="347"/>
      <c r="II34" s="347"/>
      <c r="IJ34" s="347"/>
      <c r="IK34" s="347"/>
      <c r="IL34" s="347"/>
      <c r="IM34" s="347"/>
      <c r="IN34" s="347"/>
      <c r="IO34" s="347"/>
      <c r="IP34" s="347"/>
      <c r="IQ34" s="347"/>
      <c r="IR34" s="347"/>
      <c r="IS34" s="347"/>
      <c r="IT34" s="347"/>
      <c r="IU34" s="347"/>
      <c r="IV34" s="331"/>
    </row>
    <row r="35" s="93" customFormat="1" ht="20.1" customHeight="1" spans="1:256">
      <c r="A35" s="347"/>
      <c r="B35" s="348"/>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c r="AH35" s="347"/>
      <c r="AI35" s="347"/>
      <c r="AJ35" s="347"/>
      <c r="AK35" s="347"/>
      <c r="AL35" s="347"/>
      <c r="AM35" s="347"/>
      <c r="AN35" s="347"/>
      <c r="AO35" s="347"/>
      <c r="AP35" s="347"/>
      <c r="AQ35" s="347"/>
      <c r="AR35" s="347"/>
      <c r="AS35" s="347"/>
      <c r="AT35" s="347"/>
      <c r="AU35" s="347"/>
      <c r="AV35" s="347"/>
      <c r="AW35" s="347"/>
      <c r="AX35" s="347"/>
      <c r="AY35" s="347"/>
      <c r="AZ35" s="347"/>
      <c r="BA35" s="347"/>
      <c r="BB35" s="347"/>
      <c r="BC35" s="347"/>
      <c r="BD35" s="347"/>
      <c r="BE35" s="347"/>
      <c r="BF35" s="347"/>
      <c r="BG35" s="347"/>
      <c r="BH35" s="347"/>
      <c r="BI35" s="347"/>
      <c r="BJ35" s="347"/>
      <c r="BK35" s="347"/>
      <c r="BL35" s="347"/>
      <c r="BM35" s="347"/>
      <c r="BN35" s="347"/>
      <c r="BO35" s="347"/>
      <c r="BP35" s="347"/>
      <c r="BQ35" s="347"/>
      <c r="BR35" s="347"/>
      <c r="BS35" s="347"/>
      <c r="BT35" s="347"/>
      <c r="BU35" s="347"/>
      <c r="BV35" s="347"/>
      <c r="BW35" s="347"/>
      <c r="BX35" s="347"/>
      <c r="BY35" s="347"/>
      <c r="BZ35" s="347"/>
      <c r="CA35" s="347"/>
      <c r="CB35" s="347"/>
      <c r="CC35" s="347"/>
      <c r="CD35" s="347"/>
      <c r="CE35" s="347"/>
      <c r="CF35" s="347"/>
      <c r="CG35" s="347"/>
      <c r="CH35" s="347"/>
      <c r="CI35" s="347"/>
      <c r="CJ35" s="347"/>
      <c r="CK35" s="347"/>
      <c r="CL35" s="347"/>
      <c r="CM35" s="347"/>
      <c r="CN35" s="347"/>
      <c r="CO35" s="347"/>
      <c r="CP35" s="347"/>
      <c r="CQ35" s="347"/>
      <c r="CR35" s="347"/>
      <c r="CS35" s="347"/>
      <c r="CT35" s="347"/>
      <c r="CU35" s="347"/>
      <c r="CV35" s="347"/>
      <c r="CW35" s="347"/>
      <c r="CX35" s="347"/>
      <c r="CY35" s="347"/>
      <c r="CZ35" s="347"/>
      <c r="DA35" s="347"/>
      <c r="DB35" s="347"/>
      <c r="DC35" s="347"/>
      <c r="DD35" s="347"/>
      <c r="DE35" s="347"/>
      <c r="DF35" s="347"/>
      <c r="DG35" s="347"/>
      <c r="DH35" s="347"/>
      <c r="DI35" s="347"/>
      <c r="DJ35" s="347"/>
      <c r="DK35" s="347"/>
      <c r="DL35" s="347"/>
      <c r="DM35" s="347"/>
      <c r="DN35" s="347"/>
      <c r="DO35" s="347"/>
      <c r="DP35" s="347"/>
      <c r="DQ35" s="347"/>
      <c r="DR35" s="347"/>
      <c r="DS35" s="347"/>
      <c r="DT35" s="347"/>
      <c r="DU35" s="347"/>
      <c r="DV35" s="347"/>
      <c r="DW35" s="347"/>
      <c r="DX35" s="347"/>
      <c r="DY35" s="347"/>
      <c r="DZ35" s="347"/>
      <c r="EA35" s="347"/>
      <c r="EB35" s="347"/>
      <c r="EC35" s="347"/>
      <c r="ED35" s="347"/>
      <c r="EE35" s="347"/>
      <c r="EF35" s="347"/>
      <c r="EG35" s="347"/>
      <c r="EH35" s="347"/>
      <c r="EI35" s="347"/>
      <c r="EJ35" s="347"/>
      <c r="EK35" s="347"/>
      <c r="EL35" s="347"/>
      <c r="EM35" s="347"/>
      <c r="EN35" s="347"/>
      <c r="EO35" s="347"/>
      <c r="EP35" s="347"/>
      <c r="EQ35" s="347"/>
      <c r="ER35" s="347"/>
      <c r="ES35" s="347"/>
      <c r="ET35" s="347"/>
      <c r="EU35" s="347"/>
      <c r="EV35" s="347"/>
      <c r="EW35" s="347"/>
      <c r="EX35" s="347"/>
      <c r="EY35" s="347"/>
      <c r="EZ35" s="347"/>
      <c r="FA35" s="347"/>
      <c r="FB35" s="347"/>
      <c r="FC35" s="347"/>
      <c r="FD35" s="347"/>
      <c r="FE35" s="347"/>
      <c r="FF35" s="347"/>
      <c r="FG35" s="347"/>
      <c r="FH35" s="347"/>
      <c r="FI35" s="347"/>
      <c r="FJ35" s="347"/>
      <c r="FK35" s="347"/>
      <c r="FL35" s="347"/>
      <c r="FM35" s="347"/>
      <c r="FN35" s="347"/>
      <c r="FO35" s="347"/>
      <c r="FP35" s="347"/>
      <c r="FQ35" s="347"/>
      <c r="FR35" s="347"/>
      <c r="FS35" s="347"/>
      <c r="FT35" s="347"/>
      <c r="FU35" s="347"/>
      <c r="FV35" s="347"/>
      <c r="FW35" s="347"/>
      <c r="FX35" s="347"/>
      <c r="FY35" s="347"/>
      <c r="FZ35" s="347"/>
      <c r="GA35" s="347"/>
      <c r="GB35" s="347"/>
      <c r="GC35" s="347"/>
      <c r="GD35" s="347"/>
      <c r="GE35" s="347"/>
      <c r="GF35" s="347"/>
      <c r="GG35" s="347"/>
      <c r="GH35" s="347"/>
      <c r="GI35" s="347"/>
      <c r="GJ35" s="347"/>
      <c r="GK35" s="347"/>
      <c r="GL35" s="347"/>
      <c r="GM35" s="347"/>
      <c r="GN35" s="347"/>
      <c r="GO35" s="347"/>
      <c r="GP35" s="347"/>
      <c r="GQ35" s="347"/>
      <c r="GR35" s="347"/>
      <c r="GS35" s="347"/>
      <c r="GT35" s="347"/>
      <c r="GU35" s="347"/>
      <c r="GV35" s="347"/>
      <c r="GW35" s="347"/>
      <c r="GX35" s="347"/>
      <c r="GY35" s="347"/>
      <c r="GZ35" s="347"/>
      <c r="HA35" s="347"/>
      <c r="HB35" s="347"/>
      <c r="HC35" s="347"/>
      <c r="HD35" s="347"/>
      <c r="HE35" s="347"/>
      <c r="HF35" s="347"/>
      <c r="HG35" s="347"/>
      <c r="HH35" s="347"/>
      <c r="HI35" s="347"/>
      <c r="HJ35" s="347"/>
      <c r="HK35" s="347"/>
      <c r="HL35" s="347"/>
      <c r="HM35" s="347"/>
      <c r="HN35" s="347"/>
      <c r="HO35" s="347"/>
      <c r="HP35" s="347"/>
      <c r="HQ35" s="347"/>
      <c r="HR35" s="347"/>
      <c r="HS35" s="347"/>
      <c r="HT35" s="347"/>
      <c r="HU35" s="347"/>
      <c r="HV35" s="347"/>
      <c r="HW35" s="347"/>
      <c r="HX35" s="347"/>
      <c r="HY35" s="347"/>
      <c r="HZ35" s="347"/>
      <c r="IA35" s="347"/>
      <c r="IB35" s="347"/>
      <c r="IC35" s="347"/>
      <c r="ID35" s="347"/>
      <c r="IE35" s="347"/>
      <c r="IF35" s="347"/>
      <c r="IG35" s="347"/>
      <c r="IH35" s="347"/>
      <c r="II35" s="347"/>
      <c r="IJ35" s="347"/>
      <c r="IK35" s="347"/>
      <c r="IL35" s="347"/>
      <c r="IM35" s="347"/>
      <c r="IN35" s="347"/>
      <c r="IO35" s="347"/>
      <c r="IP35" s="347"/>
      <c r="IQ35" s="347"/>
      <c r="IR35" s="347"/>
      <c r="IS35" s="347"/>
      <c r="IT35" s="347"/>
      <c r="IU35" s="347"/>
      <c r="IV35" s="331"/>
    </row>
  </sheetData>
  <mergeCells count="4">
    <mergeCell ref="A1:D1"/>
    <mergeCell ref="A31:D31"/>
    <mergeCell ref="A29:A30"/>
    <mergeCell ref="B29:D30"/>
  </mergeCells>
  <pageMargins left="0.75" right="0.75" top="1" bottom="1" header="0.509027777777778" footer="0.509027777777778"/>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theme="7"/>
  </sheetPr>
  <dimension ref="A1:M33"/>
  <sheetViews>
    <sheetView zoomScale="90" zoomScaleNormal="90" workbookViewId="0">
      <selection activeCell="J10" sqref="J10"/>
    </sheetView>
  </sheetViews>
  <sheetFormatPr defaultColWidth="9" defaultRowHeight="17.25"/>
  <cols>
    <col min="1" max="1" width="11.5" style="326" customWidth="1"/>
    <col min="2" max="2" width="10.125" style="326" customWidth="1"/>
    <col min="3" max="3" width="12.875" style="326" customWidth="1"/>
    <col min="4" max="4" width="9.375" style="326" customWidth="1"/>
    <col min="5" max="5" width="10.75" style="326" customWidth="1"/>
    <col min="6" max="11" width="8.125" style="326" customWidth="1"/>
    <col min="12" max="12" width="13.125" style="326" customWidth="1"/>
    <col min="13" max="13" width="12.75" style="326" customWidth="1"/>
    <col min="14" max="16384" width="9" style="326"/>
  </cols>
  <sheetData>
    <row r="1" ht="29.25" spans="1:5">
      <c r="A1" s="285" t="s">
        <v>65</v>
      </c>
      <c r="B1" s="285"/>
      <c r="C1" s="285"/>
      <c r="D1" s="285"/>
      <c r="E1" s="285"/>
    </row>
    <row r="2" s="331" customFormat="1" spans="1:5">
      <c r="A2" s="335"/>
      <c r="B2" s="335"/>
      <c r="C2" s="335"/>
      <c r="D2" s="335"/>
      <c r="E2" s="336"/>
    </row>
    <row r="3" s="332" customFormat="1" ht="21" spans="1:5">
      <c r="A3" s="337" t="s">
        <v>1174</v>
      </c>
      <c r="B3" s="337"/>
      <c r="C3" s="337"/>
      <c r="D3" s="337"/>
      <c r="E3" s="337"/>
    </row>
    <row r="4" s="333" customFormat="1" ht="18" spans="1:7">
      <c r="A4" s="301" t="s">
        <v>1175</v>
      </c>
      <c r="B4" s="301"/>
      <c r="C4" s="301" t="s">
        <v>1176</v>
      </c>
      <c r="D4" s="301" t="s">
        <v>1177</v>
      </c>
      <c r="E4" s="301" t="s">
        <v>1178</v>
      </c>
      <c r="G4" s="338"/>
    </row>
    <row r="5" ht="16.5" spans="1:5">
      <c r="A5" s="339" t="s">
        <v>1179</v>
      </c>
      <c r="B5" s="339"/>
      <c r="C5" s="340">
        <v>0.03</v>
      </c>
      <c r="D5" s="341">
        <v>0</v>
      </c>
      <c r="E5" s="342"/>
    </row>
    <row r="6" ht="16.5" spans="1:5">
      <c r="A6" s="339" t="s">
        <v>1180</v>
      </c>
      <c r="B6" s="339"/>
      <c r="C6" s="340">
        <v>0.1</v>
      </c>
      <c r="D6" s="341">
        <v>210</v>
      </c>
      <c r="E6" s="342"/>
    </row>
    <row r="7" ht="16.5" spans="1:5">
      <c r="A7" s="339" t="s">
        <v>1181</v>
      </c>
      <c r="B7" s="339"/>
      <c r="C7" s="340">
        <v>0.2</v>
      </c>
      <c r="D7" s="341">
        <v>1410</v>
      </c>
      <c r="E7" s="342"/>
    </row>
    <row r="8" ht="16.5" spans="1:5">
      <c r="A8" s="339" t="s">
        <v>1182</v>
      </c>
      <c r="B8" s="339"/>
      <c r="C8" s="340">
        <v>0.25</v>
      </c>
      <c r="D8" s="341">
        <v>2660</v>
      </c>
      <c r="E8" s="342"/>
    </row>
    <row r="9" ht="16.5" spans="1:5">
      <c r="A9" s="339" t="s">
        <v>1183</v>
      </c>
      <c r="B9" s="339"/>
      <c r="C9" s="340">
        <v>0.3</v>
      </c>
      <c r="D9" s="341">
        <v>4410</v>
      </c>
      <c r="E9" s="342"/>
    </row>
    <row r="10" ht="16.5" spans="1:5">
      <c r="A10" s="339" t="s">
        <v>1184</v>
      </c>
      <c r="B10" s="339"/>
      <c r="C10" s="340">
        <v>0.35</v>
      </c>
      <c r="D10" s="341">
        <v>7160</v>
      </c>
      <c r="E10" s="342"/>
    </row>
    <row r="11" ht="16.5" spans="1:5">
      <c r="A11" s="339" t="s">
        <v>1185</v>
      </c>
      <c r="B11" s="339"/>
      <c r="C11" s="340">
        <v>0.45</v>
      </c>
      <c r="D11" s="341">
        <v>15160</v>
      </c>
      <c r="E11" s="342"/>
    </row>
    <row r="12" s="332" customFormat="1" ht="21" spans="1:13">
      <c r="A12" s="343" t="s">
        <v>65</v>
      </c>
      <c r="B12" s="343"/>
      <c r="C12" s="343"/>
      <c r="D12" s="343"/>
      <c r="E12" s="343"/>
      <c r="F12" s="343"/>
      <c r="G12" s="343"/>
      <c r="H12" s="343"/>
      <c r="I12" s="343"/>
      <c r="J12" s="343"/>
      <c r="K12" s="343"/>
      <c r="L12" s="343"/>
      <c r="M12" s="343"/>
    </row>
    <row r="13" s="334" customFormat="1" ht="20.25" customHeight="1" spans="1:13">
      <c r="A13" s="301" t="s">
        <v>1186</v>
      </c>
      <c r="B13" s="301" t="s">
        <v>1187</v>
      </c>
      <c r="C13" s="301" t="s">
        <v>1188</v>
      </c>
      <c r="D13" s="301" t="s">
        <v>1189</v>
      </c>
      <c r="E13" s="301" t="s">
        <v>1190</v>
      </c>
      <c r="F13" s="301" t="s">
        <v>1191</v>
      </c>
      <c r="G13" s="301" t="s">
        <v>1192</v>
      </c>
      <c r="H13" s="301" t="s">
        <v>1193</v>
      </c>
      <c r="I13" s="301" t="s">
        <v>1194</v>
      </c>
      <c r="J13" s="301" t="s">
        <v>1195</v>
      </c>
      <c r="K13" s="301" t="s">
        <v>1196</v>
      </c>
      <c r="L13" s="301" t="s">
        <v>1197</v>
      </c>
      <c r="M13" s="301" t="s">
        <v>1198</v>
      </c>
    </row>
    <row r="14" s="334" customFormat="1" ht="16.5" spans="1:13">
      <c r="A14" s="339">
        <v>1</v>
      </c>
      <c r="B14" s="344" t="s">
        <v>1199</v>
      </c>
      <c r="C14" s="344" t="s">
        <v>1200</v>
      </c>
      <c r="D14" s="345">
        <v>13500</v>
      </c>
      <c r="E14" s="345">
        <v>300</v>
      </c>
      <c r="F14" s="345">
        <v>500</v>
      </c>
      <c r="G14" s="346">
        <v>100</v>
      </c>
      <c r="H14" s="346">
        <v>50</v>
      </c>
      <c r="I14" s="346">
        <v>20</v>
      </c>
      <c r="J14" s="346">
        <v>20</v>
      </c>
      <c r="K14" s="346">
        <v>1050</v>
      </c>
      <c r="L14" s="339">
        <f>D14-E14-F14-G14-H14-I14-J14-K14</f>
        <v>11460</v>
      </c>
      <c r="M14" s="339">
        <f>LOOKUP(L14-5000,{-5000;0;3000;12000;25000;35000;55000;80000},{0;0.03;0.1;0.2;0.25;0.3;0.35;0.45}*(L14-5000)-{0;0;210;1410;2660;4410;7160;15160})</f>
        <v>436</v>
      </c>
    </row>
    <row r="15" s="334" customFormat="1" ht="16.5" spans="1:13">
      <c r="A15" s="339">
        <v>2</v>
      </c>
      <c r="B15" s="344" t="s">
        <v>1201</v>
      </c>
      <c r="C15" s="344" t="s">
        <v>1202</v>
      </c>
      <c r="D15" s="345">
        <v>7500</v>
      </c>
      <c r="E15" s="345"/>
      <c r="F15" s="345">
        <v>400</v>
      </c>
      <c r="G15" s="346">
        <v>100</v>
      </c>
      <c r="H15" s="346">
        <v>50</v>
      </c>
      <c r="I15" s="346">
        <v>20</v>
      </c>
      <c r="J15" s="346">
        <v>20</v>
      </c>
      <c r="K15" s="346">
        <v>750</v>
      </c>
      <c r="L15" s="339">
        <f t="shared" ref="L15:L32" si="0">D15-E15-F15-G15-H15-I15-J15-K15</f>
        <v>6160</v>
      </c>
      <c r="M15" s="339">
        <f>LOOKUP(L15-5000,{-5000;0;3000;12000;25000;35000;55000;80000},{0;0.03;0.1;0.2;0.25;0.3;0.35;0.45}*(L15-5000)-{0;0;210;1410;2660;4410;7160;15160})</f>
        <v>34.8</v>
      </c>
    </row>
    <row r="16" s="334" customFormat="1" ht="16.5" spans="1:13">
      <c r="A16" s="339">
        <v>3</v>
      </c>
      <c r="B16" s="344" t="s">
        <v>1203</v>
      </c>
      <c r="C16" s="344" t="s">
        <v>1204</v>
      </c>
      <c r="D16" s="345">
        <v>9800</v>
      </c>
      <c r="E16" s="345">
        <v>100</v>
      </c>
      <c r="F16" s="345">
        <v>450</v>
      </c>
      <c r="G16" s="346">
        <v>100</v>
      </c>
      <c r="H16" s="346">
        <v>50</v>
      </c>
      <c r="I16" s="346">
        <v>20</v>
      </c>
      <c r="J16" s="346">
        <v>20</v>
      </c>
      <c r="K16" s="346">
        <v>850</v>
      </c>
      <c r="L16" s="339">
        <f t="shared" si="0"/>
        <v>8210</v>
      </c>
      <c r="M16" s="339">
        <f>LOOKUP(L16-5000,{-5000;0;3000;12000;25000;35000;55000;80000},{0;0.03;0.1;0.2;0.25;0.3;0.35;0.45}*(L16-5000)-{0;0;210;1410;2660;4410;7160;15160})</f>
        <v>111</v>
      </c>
    </row>
    <row r="17" s="334" customFormat="1" ht="16.5" spans="1:13">
      <c r="A17" s="339">
        <v>4</v>
      </c>
      <c r="B17" s="344"/>
      <c r="C17" s="344"/>
      <c r="D17" s="345"/>
      <c r="E17" s="345"/>
      <c r="F17" s="345"/>
      <c r="G17" s="346"/>
      <c r="H17" s="346"/>
      <c r="I17" s="346"/>
      <c r="J17" s="346"/>
      <c r="K17" s="346"/>
      <c r="L17" s="339">
        <f t="shared" si="0"/>
        <v>0</v>
      </c>
      <c r="M17" s="339">
        <f>LOOKUP(L17-5000,{-5000;0;3000;12000;25000;35000;55000;80000},{0;0.03;0.1;0.2;0.25;0.3;0.35;0.45}*(L17-5000)-{0;0;210;1410;2660;4410;7160;15160})</f>
        <v>0</v>
      </c>
    </row>
    <row r="18" s="334" customFormat="1" ht="16.5" spans="1:13">
      <c r="A18" s="339">
        <v>5</v>
      </c>
      <c r="B18" s="344"/>
      <c r="C18" s="344"/>
      <c r="D18" s="345"/>
      <c r="E18" s="345"/>
      <c r="F18" s="345"/>
      <c r="G18" s="346"/>
      <c r="H18" s="346"/>
      <c r="I18" s="346"/>
      <c r="J18" s="346"/>
      <c r="K18" s="346"/>
      <c r="L18" s="339">
        <f t="shared" si="0"/>
        <v>0</v>
      </c>
      <c r="M18" s="339">
        <f>LOOKUP(L18-5000,{-5000;0;3000;12000;25000;35000;55000;80000},{0;0.03;0.1;0.2;0.25;0.3;0.35;0.45}*(L18-5000)-{0;0;210;1410;2660;4410;7160;15160})</f>
        <v>0</v>
      </c>
    </row>
    <row r="19" s="334" customFormat="1" ht="16.5" spans="1:13">
      <c r="A19" s="339">
        <v>6</v>
      </c>
      <c r="B19" s="344"/>
      <c r="C19" s="344"/>
      <c r="D19" s="345"/>
      <c r="E19" s="345"/>
      <c r="F19" s="345"/>
      <c r="G19" s="346"/>
      <c r="H19" s="346"/>
      <c r="I19" s="346"/>
      <c r="J19" s="346"/>
      <c r="K19" s="346"/>
      <c r="L19" s="339">
        <f t="shared" si="0"/>
        <v>0</v>
      </c>
      <c r="M19" s="339">
        <f>LOOKUP(L19-5000,{-5000;0;3000;12000;25000;35000;55000;80000},{0;0.03;0.1;0.2;0.25;0.3;0.35;0.45}*(L19-5000)-{0;0;210;1410;2660;4410;7160;15160})</f>
        <v>0</v>
      </c>
    </row>
    <row r="20" s="334" customFormat="1" ht="16.5" spans="1:13">
      <c r="A20" s="339">
        <v>7</v>
      </c>
      <c r="B20" s="344"/>
      <c r="C20" s="344"/>
      <c r="D20" s="345"/>
      <c r="E20" s="345"/>
      <c r="F20" s="345"/>
      <c r="G20" s="346"/>
      <c r="H20" s="346"/>
      <c r="I20" s="346"/>
      <c r="J20" s="346"/>
      <c r="K20" s="346"/>
      <c r="L20" s="339">
        <f t="shared" si="0"/>
        <v>0</v>
      </c>
      <c r="M20" s="339">
        <f>LOOKUP(L20-5000,{-5000;0;3000;12000;25000;35000;55000;80000},{0;0.03;0.1;0.2;0.25;0.3;0.35;0.45}*(L20-5000)-{0;0;210;1410;2660;4410;7160;15160})</f>
        <v>0</v>
      </c>
    </row>
    <row r="21" s="334" customFormat="1" ht="16.5" spans="1:13">
      <c r="A21" s="339">
        <v>8</v>
      </c>
      <c r="B21" s="344"/>
      <c r="C21" s="344"/>
      <c r="D21" s="345"/>
      <c r="E21" s="345"/>
      <c r="F21" s="345"/>
      <c r="G21" s="346"/>
      <c r="H21" s="346"/>
      <c r="I21" s="346"/>
      <c r="J21" s="346"/>
      <c r="K21" s="346"/>
      <c r="L21" s="339">
        <f t="shared" si="0"/>
        <v>0</v>
      </c>
      <c r="M21" s="339">
        <f>LOOKUP(L21-5000,{-5000;0;3000;12000;25000;35000;55000;80000},{0;0.03;0.1;0.2;0.25;0.3;0.35;0.45}*(L21-5000)-{0;0;210;1410;2660;4410;7160;15160})</f>
        <v>0</v>
      </c>
    </row>
    <row r="22" s="334" customFormat="1" ht="16.5" spans="1:13">
      <c r="A22" s="339">
        <v>9</v>
      </c>
      <c r="B22" s="344"/>
      <c r="C22" s="344"/>
      <c r="D22" s="345"/>
      <c r="E22" s="345"/>
      <c r="F22" s="345"/>
      <c r="G22" s="346"/>
      <c r="H22" s="346"/>
      <c r="I22" s="346"/>
      <c r="J22" s="346"/>
      <c r="K22" s="346"/>
      <c r="L22" s="339">
        <f t="shared" si="0"/>
        <v>0</v>
      </c>
      <c r="M22" s="339">
        <f>LOOKUP(L22-5000,{-5000;0;3000;12000;25000;35000;55000;80000},{0;0.03;0.1;0.2;0.25;0.3;0.35;0.45}*(L22-5000)-{0;0;210;1410;2660;4410;7160;15160})</f>
        <v>0</v>
      </c>
    </row>
    <row r="23" s="334" customFormat="1" ht="16.5" spans="1:13">
      <c r="A23" s="339">
        <v>10</v>
      </c>
      <c r="B23" s="344"/>
      <c r="C23" s="344"/>
      <c r="D23" s="345"/>
      <c r="E23" s="345"/>
      <c r="F23" s="345"/>
      <c r="G23" s="346"/>
      <c r="H23" s="346"/>
      <c r="I23" s="346"/>
      <c r="J23" s="346"/>
      <c r="K23" s="346"/>
      <c r="L23" s="339">
        <f t="shared" si="0"/>
        <v>0</v>
      </c>
      <c r="M23" s="339">
        <f>LOOKUP(L23-5000,{-5000;0;3000;12000;25000;35000;55000;80000},{0;0.03;0.1;0.2;0.25;0.3;0.35;0.45}*(L23-5000)-{0;0;210;1410;2660;4410;7160;15160})</f>
        <v>0</v>
      </c>
    </row>
    <row r="24" s="334" customFormat="1" ht="16.5" spans="1:13">
      <c r="A24" s="339">
        <v>11</v>
      </c>
      <c r="B24" s="344"/>
      <c r="C24" s="344"/>
      <c r="D24" s="345"/>
      <c r="E24" s="345"/>
      <c r="F24" s="345"/>
      <c r="G24" s="346"/>
      <c r="H24" s="346"/>
      <c r="I24" s="346"/>
      <c r="J24" s="346"/>
      <c r="K24" s="346"/>
      <c r="L24" s="339">
        <f t="shared" si="0"/>
        <v>0</v>
      </c>
      <c r="M24" s="339">
        <f>LOOKUP(L24-5000,{-5000;0;3000;12000;25000;35000;55000;80000},{0;0.03;0.1;0.2;0.25;0.3;0.35;0.45}*(L24-5000)-{0;0;210;1410;2660;4410;7160;15160})</f>
        <v>0</v>
      </c>
    </row>
    <row r="25" s="334" customFormat="1" ht="16.5" spans="1:13">
      <c r="A25" s="339">
        <v>12</v>
      </c>
      <c r="B25" s="344"/>
      <c r="C25" s="344"/>
      <c r="D25" s="345"/>
      <c r="E25" s="345"/>
      <c r="F25" s="345"/>
      <c r="G25" s="346"/>
      <c r="H25" s="346"/>
      <c r="I25" s="346"/>
      <c r="J25" s="346"/>
      <c r="K25" s="346"/>
      <c r="L25" s="339">
        <f t="shared" si="0"/>
        <v>0</v>
      </c>
      <c r="M25" s="339">
        <f>LOOKUP(L25-5000,{-5000;0;3000;12000;25000;35000;55000;80000},{0;0.03;0.1;0.2;0.25;0.3;0.35;0.45}*(L25-5000)-{0;0;210;1410;2660;4410;7160;15160})</f>
        <v>0</v>
      </c>
    </row>
    <row r="26" s="334" customFormat="1" ht="16.5" spans="1:13">
      <c r="A26" s="339">
        <v>13</v>
      </c>
      <c r="B26" s="344"/>
      <c r="C26" s="344"/>
      <c r="D26" s="345"/>
      <c r="E26" s="345"/>
      <c r="F26" s="345"/>
      <c r="G26" s="346"/>
      <c r="H26" s="346"/>
      <c r="I26" s="346"/>
      <c r="J26" s="346"/>
      <c r="K26" s="346"/>
      <c r="L26" s="339">
        <f t="shared" si="0"/>
        <v>0</v>
      </c>
      <c r="M26" s="339">
        <f>LOOKUP(L26-5000,{-5000;0;3000;12000;25000;35000;55000;80000},{0;0.03;0.1;0.2;0.25;0.3;0.35;0.45}*(L26-5000)-{0;0;210;1410;2660;4410;7160;15160})</f>
        <v>0</v>
      </c>
    </row>
    <row r="27" s="334" customFormat="1" ht="16.5" spans="1:13">
      <c r="A27" s="339">
        <v>14</v>
      </c>
      <c r="B27" s="344"/>
      <c r="C27" s="344"/>
      <c r="D27" s="345"/>
      <c r="E27" s="345"/>
      <c r="F27" s="345"/>
      <c r="G27" s="346"/>
      <c r="H27" s="346"/>
      <c r="I27" s="346"/>
      <c r="J27" s="346"/>
      <c r="K27" s="346"/>
      <c r="L27" s="339">
        <f t="shared" si="0"/>
        <v>0</v>
      </c>
      <c r="M27" s="339">
        <f>LOOKUP(L27-5000,{-5000;0;3000;12000;25000;35000;55000;80000},{0;0.03;0.1;0.2;0.25;0.3;0.35;0.45}*(L27-5000)-{0;0;210;1410;2660;4410;7160;15160})</f>
        <v>0</v>
      </c>
    </row>
    <row r="28" s="334" customFormat="1" ht="16.5" spans="1:13">
      <c r="A28" s="339">
        <v>15</v>
      </c>
      <c r="B28" s="344"/>
      <c r="C28" s="344"/>
      <c r="D28" s="345"/>
      <c r="E28" s="345"/>
      <c r="F28" s="345"/>
      <c r="G28" s="346"/>
      <c r="H28" s="346"/>
      <c r="I28" s="346"/>
      <c r="J28" s="346"/>
      <c r="K28" s="346"/>
      <c r="L28" s="339">
        <f t="shared" si="0"/>
        <v>0</v>
      </c>
      <c r="M28" s="339">
        <f>LOOKUP(L28-5000,{-5000;0;3000;12000;25000;35000;55000;80000},{0;0.03;0.1;0.2;0.25;0.3;0.35;0.45}*(L28-5000)-{0;0;210;1410;2660;4410;7160;15160})</f>
        <v>0</v>
      </c>
    </row>
    <row r="29" s="334" customFormat="1" ht="16.5" spans="1:13">
      <c r="A29" s="339">
        <v>16</v>
      </c>
      <c r="B29" s="344"/>
      <c r="C29" s="344"/>
      <c r="D29" s="345"/>
      <c r="E29" s="345"/>
      <c r="F29" s="345"/>
      <c r="G29" s="346"/>
      <c r="H29" s="346"/>
      <c r="I29" s="346"/>
      <c r="J29" s="346"/>
      <c r="K29" s="346"/>
      <c r="L29" s="339">
        <f t="shared" si="0"/>
        <v>0</v>
      </c>
      <c r="M29" s="339">
        <f>LOOKUP(L29-5000,{-5000;0;3000;12000;25000;35000;55000;80000},{0;0.03;0.1;0.2;0.25;0.3;0.35;0.45}*(L29-5000)-{0;0;210;1410;2660;4410;7160;15160})</f>
        <v>0</v>
      </c>
    </row>
    <row r="30" s="334" customFormat="1" ht="16.5" spans="1:13">
      <c r="A30" s="339">
        <v>17</v>
      </c>
      <c r="B30" s="344"/>
      <c r="C30" s="344"/>
      <c r="D30" s="345"/>
      <c r="E30" s="345"/>
      <c r="F30" s="345"/>
      <c r="G30" s="346"/>
      <c r="H30" s="346"/>
      <c r="I30" s="346"/>
      <c r="J30" s="346"/>
      <c r="K30" s="346"/>
      <c r="L30" s="339">
        <f t="shared" si="0"/>
        <v>0</v>
      </c>
      <c r="M30" s="339">
        <f>LOOKUP(L30-5000,{-5000;0;3000;12000;25000;35000;55000;80000},{0;0.03;0.1;0.2;0.25;0.3;0.35;0.45}*(L30-5000)-{0;0;210;1410;2660;4410;7160;15160})</f>
        <v>0</v>
      </c>
    </row>
    <row r="31" s="334" customFormat="1" ht="16.5" spans="1:13">
      <c r="A31" s="339">
        <v>18</v>
      </c>
      <c r="B31" s="344"/>
      <c r="C31" s="344"/>
      <c r="D31" s="345"/>
      <c r="E31" s="345"/>
      <c r="F31" s="345"/>
      <c r="G31" s="346"/>
      <c r="H31" s="346"/>
      <c r="I31" s="346"/>
      <c r="J31" s="346"/>
      <c r="K31" s="346"/>
      <c r="L31" s="339">
        <f t="shared" si="0"/>
        <v>0</v>
      </c>
      <c r="M31" s="339">
        <f>LOOKUP(L31-5000,{-5000;0;3000;12000;25000;35000;55000;80000},{0;0.03;0.1;0.2;0.25;0.3;0.35;0.45}*(L31-5000)-{0;0;210;1410;2660;4410;7160;15160})</f>
        <v>0</v>
      </c>
    </row>
    <row r="32" s="334" customFormat="1" ht="16.5" spans="1:13">
      <c r="A32" s="339">
        <v>19</v>
      </c>
      <c r="B32" s="344"/>
      <c r="C32" s="344"/>
      <c r="D32" s="345"/>
      <c r="E32" s="345"/>
      <c r="F32" s="345"/>
      <c r="G32" s="346"/>
      <c r="H32" s="346"/>
      <c r="I32" s="346"/>
      <c r="J32" s="346"/>
      <c r="K32" s="346"/>
      <c r="L32" s="339">
        <f t="shared" si="0"/>
        <v>0</v>
      </c>
      <c r="M32" s="339">
        <f>LOOKUP(L32-5000,{-5000;0;3000;12000;25000;35000;55000;80000},{0;0.03;0.1;0.2;0.25;0.3;0.35;0.45}*(L32-5000)-{0;0;210;1410;2660;4410;7160;15160})</f>
        <v>0</v>
      </c>
    </row>
    <row r="33" s="334" customFormat="1" ht="18" spans="1:13">
      <c r="A33" s="301" t="s">
        <v>689</v>
      </c>
      <c r="B33" s="301"/>
      <c r="C33" s="301"/>
      <c r="D33" s="339">
        <f t="shared" ref="D33:M33" si="1">SUM(D14:D32)</f>
        <v>30800</v>
      </c>
      <c r="E33" s="339"/>
      <c r="F33" s="339">
        <f t="shared" si="1"/>
        <v>1350</v>
      </c>
      <c r="G33" s="339">
        <f t="shared" si="1"/>
        <v>300</v>
      </c>
      <c r="H33" s="339">
        <f t="shared" si="1"/>
        <v>150</v>
      </c>
      <c r="I33" s="339">
        <f t="shared" si="1"/>
        <v>60</v>
      </c>
      <c r="J33" s="339">
        <f t="shared" si="1"/>
        <v>60</v>
      </c>
      <c r="K33" s="339">
        <f t="shared" si="1"/>
        <v>2650</v>
      </c>
      <c r="L33" s="339">
        <f t="shared" si="1"/>
        <v>25830</v>
      </c>
      <c r="M33" s="339">
        <f t="shared" si="1"/>
        <v>581.8</v>
      </c>
    </row>
  </sheetData>
  <mergeCells count="12">
    <mergeCell ref="A1:E1"/>
    <mergeCell ref="A3:E3"/>
    <mergeCell ref="A4:B4"/>
    <mergeCell ref="A5:B5"/>
    <mergeCell ref="A6:B6"/>
    <mergeCell ref="A7:B7"/>
    <mergeCell ref="A8:B8"/>
    <mergeCell ref="A9:B9"/>
    <mergeCell ref="A10:B10"/>
    <mergeCell ref="A11:B11"/>
    <mergeCell ref="A12:M12"/>
    <mergeCell ref="E5:E11"/>
  </mergeCells>
  <pageMargins left="0.75" right="0.75" top="1" bottom="1" header="0.509027777777778" footer="0.509027777777778"/>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S44"/>
  <sheetViews>
    <sheetView zoomScale="90" zoomScaleNormal="90" workbookViewId="0">
      <selection activeCell="A1" sqref="A1:I1"/>
    </sheetView>
  </sheetViews>
  <sheetFormatPr defaultColWidth="9" defaultRowHeight="17.25"/>
  <cols>
    <col min="1" max="1" width="15.875" style="147" customWidth="1"/>
    <col min="2" max="3" width="12.75" style="147" customWidth="1"/>
    <col min="4" max="4" width="11.625" style="147" customWidth="1"/>
    <col min="5" max="5" width="12.875" style="147" customWidth="1"/>
    <col min="6" max="6" width="9.875" style="147" customWidth="1"/>
    <col min="7" max="7" width="11.625" style="147" customWidth="1"/>
    <col min="8" max="8" width="11.5" style="147" customWidth="1"/>
    <col min="9" max="9" width="11" style="147" customWidth="1"/>
    <col min="10" max="10" width="3.125" style="147" customWidth="1"/>
    <col min="11" max="11" width="9" style="147"/>
    <col min="12" max="12" width="14.125" style="147"/>
    <col min="13" max="13" width="15.375" style="147"/>
    <col min="14" max="15" width="14.125" style="147"/>
    <col min="16" max="16" width="15.375" style="147"/>
    <col min="17" max="17" width="14.125" style="147"/>
    <col min="18" max="18" width="15.375" style="147"/>
    <col min="19" max="19" width="14.125" style="147"/>
    <col min="20" max="230" width="9" style="147"/>
    <col min="231" max="231" width="16.125" style="147" customWidth="1"/>
    <col min="232" max="233" width="12.75" style="147" customWidth="1"/>
    <col min="234" max="234" width="11.625" style="147" customWidth="1"/>
    <col min="235" max="235" width="12.875" style="147" customWidth="1"/>
    <col min="236" max="236" width="14.375" style="147" customWidth="1"/>
    <col min="237" max="237" width="11.5" style="147" customWidth="1"/>
    <col min="238" max="238" width="17.5" style="147" customWidth="1"/>
    <col min="239" max="16384" width="9" style="147"/>
  </cols>
  <sheetData>
    <row r="1" ht="29.25" spans="1:9">
      <c r="A1" s="236" t="s">
        <v>1205</v>
      </c>
      <c r="B1" s="236"/>
      <c r="C1" s="236"/>
      <c r="D1" s="236"/>
      <c r="E1" s="236"/>
      <c r="F1" s="236"/>
      <c r="G1" s="236"/>
      <c r="H1" s="236"/>
      <c r="I1" s="236"/>
    </row>
    <row r="2" ht="19.5" customHeight="1" spans="1:9">
      <c r="A2" s="298"/>
      <c r="B2" s="298"/>
      <c r="C2" s="298"/>
      <c r="D2" s="299"/>
      <c r="E2" s="299"/>
      <c r="F2" s="299"/>
      <c r="G2" s="299"/>
      <c r="H2" s="300" t="s">
        <v>198</v>
      </c>
      <c r="I2" s="300"/>
    </row>
    <row r="3" s="234" customFormat="1" ht="18" spans="1:9">
      <c r="A3" s="301" t="s">
        <v>1206</v>
      </c>
      <c r="B3" s="301" t="s">
        <v>1207</v>
      </c>
      <c r="C3" s="301" t="s">
        <v>1208</v>
      </c>
      <c r="D3" s="301" t="s">
        <v>1209</v>
      </c>
      <c r="E3" s="301" t="s">
        <v>1210</v>
      </c>
      <c r="F3" s="301" t="s">
        <v>1211</v>
      </c>
      <c r="G3" s="301" t="s">
        <v>1212</v>
      </c>
      <c r="H3" s="301" t="s">
        <v>1213</v>
      </c>
      <c r="I3" s="301" t="s">
        <v>1214</v>
      </c>
    </row>
    <row r="4" ht="18" spans="1:19">
      <c r="A4" s="301" t="s">
        <v>1215</v>
      </c>
      <c r="B4" s="301" t="s">
        <v>1216</v>
      </c>
      <c r="C4" s="301" t="s">
        <v>1217</v>
      </c>
      <c r="D4" s="301" t="s">
        <v>1218</v>
      </c>
      <c r="E4" s="301" t="s">
        <v>1219</v>
      </c>
      <c r="F4" s="301" t="s">
        <v>1220</v>
      </c>
      <c r="G4" s="301"/>
      <c r="H4" s="301" t="s">
        <v>1221</v>
      </c>
      <c r="I4" s="301" t="s">
        <v>1222</v>
      </c>
      <c r="K4" s="326" t="s">
        <v>1223</v>
      </c>
      <c r="L4" s="326"/>
      <c r="M4" s="326"/>
      <c r="N4" s="326"/>
      <c r="O4" s="326"/>
      <c r="P4" s="326"/>
      <c r="Q4" s="326"/>
      <c r="R4" s="326"/>
      <c r="S4" s="326"/>
    </row>
    <row r="5" ht="18.75" spans="1:19">
      <c r="A5" s="302" t="s">
        <v>1224</v>
      </c>
      <c r="B5" s="301">
        <v>1</v>
      </c>
      <c r="C5" s="303">
        <v>3017.6</v>
      </c>
      <c r="D5" s="301"/>
      <c r="E5" s="301"/>
      <c r="F5" s="301"/>
      <c r="G5" s="304">
        <f>$B$35</f>
        <v>1.12036186718204</v>
      </c>
      <c r="H5" s="305">
        <f t="shared" ref="H5:H20" si="0">$B$27+$D$27*B5</f>
        <v>2749.39941176471</v>
      </c>
      <c r="I5" s="301"/>
      <c r="K5" s="326"/>
      <c r="L5" s="326"/>
      <c r="M5" s="326"/>
      <c r="N5" s="326"/>
      <c r="O5" s="326"/>
      <c r="P5" s="326"/>
      <c r="Q5" s="326"/>
      <c r="R5" s="326"/>
      <c r="S5" s="326"/>
    </row>
    <row r="6" ht="18" spans="1:19">
      <c r="A6" s="302">
        <v>2</v>
      </c>
      <c r="B6" s="301">
        <v>2</v>
      </c>
      <c r="C6" s="303">
        <v>3043.54</v>
      </c>
      <c r="D6" s="305">
        <f t="shared" ref="D6:D18" si="1">AVERAGE(C5:C8)</f>
        <v>2741.3325</v>
      </c>
      <c r="E6" s="301"/>
      <c r="F6" s="301"/>
      <c r="G6" s="304">
        <f>$C$35</f>
        <v>1.10847473609547</v>
      </c>
      <c r="H6" s="305">
        <f t="shared" si="0"/>
        <v>2786.79832352941</v>
      </c>
      <c r="I6" s="301"/>
      <c r="K6" s="327" t="s">
        <v>1225</v>
      </c>
      <c r="L6" s="327"/>
      <c r="M6" s="326"/>
      <c r="N6" s="326"/>
      <c r="O6" s="326"/>
      <c r="P6" s="326"/>
      <c r="Q6" s="326"/>
      <c r="R6" s="326"/>
      <c r="S6" s="326"/>
    </row>
    <row r="7" ht="18" spans="1:19">
      <c r="A7" s="302">
        <v>3</v>
      </c>
      <c r="B7" s="301">
        <v>3</v>
      </c>
      <c r="C7" s="303">
        <v>2094.35</v>
      </c>
      <c r="D7" s="305">
        <f t="shared" si="1"/>
        <v>2805.6325</v>
      </c>
      <c r="E7" s="305">
        <f t="shared" ref="E7:E18" si="2">AVERAGE(D6:D7)</f>
        <v>2773.4825</v>
      </c>
      <c r="F7" s="306">
        <f t="shared" ref="F7:F18" si="3">C7/E7</f>
        <v>0.75513366318338</v>
      </c>
      <c r="G7" s="304">
        <f>$D$35</f>
        <v>0.745478479812031</v>
      </c>
      <c r="H7" s="305">
        <f t="shared" si="0"/>
        <v>2824.19723529412</v>
      </c>
      <c r="I7" s="306">
        <f t="shared" ref="I7:I18" si="4">E7/H7</f>
        <v>0.982042778506992</v>
      </c>
      <c r="K7" s="328" t="s">
        <v>1226</v>
      </c>
      <c r="L7" s="328">
        <v>0.33888348364312</v>
      </c>
      <c r="M7" s="326"/>
      <c r="N7" s="326"/>
      <c r="O7" s="326"/>
      <c r="P7" s="326"/>
      <c r="Q7" s="326"/>
      <c r="R7" s="326"/>
      <c r="S7" s="326"/>
    </row>
    <row r="8" ht="18" spans="1:19">
      <c r="A8" s="302">
        <v>4</v>
      </c>
      <c r="B8" s="301">
        <v>4</v>
      </c>
      <c r="C8" s="303">
        <v>2809.84</v>
      </c>
      <c r="D8" s="305">
        <f t="shared" si="1"/>
        <v>2835.5675</v>
      </c>
      <c r="E8" s="305">
        <f t="shared" si="2"/>
        <v>2820.6</v>
      </c>
      <c r="F8" s="306">
        <f t="shared" si="3"/>
        <v>0.996185208820818</v>
      </c>
      <c r="G8" s="304">
        <f>$E$35</f>
        <v>1.02568491691046</v>
      </c>
      <c r="H8" s="305">
        <f t="shared" si="0"/>
        <v>2861.59614705882</v>
      </c>
      <c r="I8" s="306">
        <f t="shared" si="4"/>
        <v>0.985673678271841</v>
      </c>
      <c r="K8" s="328" t="s">
        <v>1227</v>
      </c>
      <c r="L8" s="328">
        <v>0.114842015486097</v>
      </c>
      <c r="M8" s="326"/>
      <c r="N8" s="326"/>
      <c r="O8" s="326"/>
      <c r="P8" s="326"/>
      <c r="Q8" s="326"/>
      <c r="R8" s="326"/>
      <c r="S8" s="326"/>
    </row>
    <row r="9" ht="18" spans="1:19">
      <c r="A9" s="302" t="s">
        <v>1228</v>
      </c>
      <c r="B9" s="301">
        <v>5</v>
      </c>
      <c r="C9" s="303">
        <v>3274.8</v>
      </c>
      <c r="D9" s="305">
        <f t="shared" si="1"/>
        <v>2840.5575</v>
      </c>
      <c r="E9" s="305">
        <f t="shared" si="2"/>
        <v>2838.0625</v>
      </c>
      <c r="F9" s="306">
        <f t="shared" si="3"/>
        <v>1.15388579356515</v>
      </c>
      <c r="G9" s="304">
        <f>$B$35</f>
        <v>1.12036186718204</v>
      </c>
      <c r="H9" s="305">
        <f t="shared" si="0"/>
        <v>2898.99505882353</v>
      </c>
      <c r="I9" s="306">
        <f t="shared" si="4"/>
        <v>0.97898148924467</v>
      </c>
      <c r="K9" s="328" t="s">
        <v>1229</v>
      </c>
      <c r="L9" s="328">
        <v>0.0516164451636749</v>
      </c>
      <c r="M9" s="326"/>
      <c r="N9" s="326"/>
      <c r="O9" s="326"/>
      <c r="P9" s="326"/>
      <c r="Q9" s="326"/>
      <c r="R9" s="326"/>
      <c r="S9" s="326"/>
    </row>
    <row r="10" ht="18" spans="1:19">
      <c r="A10" s="302">
        <v>2</v>
      </c>
      <c r="B10" s="301">
        <v>6</v>
      </c>
      <c r="C10" s="303">
        <v>3163.28</v>
      </c>
      <c r="D10" s="305">
        <f t="shared" si="1"/>
        <v>2894.24</v>
      </c>
      <c r="E10" s="305">
        <f t="shared" si="2"/>
        <v>2867.39875</v>
      </c>
      <c r="F10" s="306">
        <f t="shared" si="3"/>
        <v>1.10318803758982</v>
      </c>
      <c r="G10" s="304">
        <f>$C$35</f>
        <v>1.10847473609547</v>
      </c>
      <c r="H10" s="305">
        <f t="shared" si="0"/>
        <v>2936.39397058824</v>
      </c>
      <c r="I10" s="306">
        <f t="shared" si="4"/>
        <v>0.976503418383462</v>
      </c>
      <c r="K10" s="328" t="s">
        <v>1230</v>
      </c>
      <c r="L10" s="328">
        <v>511.675236144705</v>
      </c>
      <c r="M10" s="326"/>
      <c r="N10" s="326"/>
      <c r="O10" s="326"/>
      <c r="P10" s="326"/>
      <c r="Q10" s="326"/>
      <c r="R10" s="326"/>
      <c r="S10" s="326"/>
    </row>
    <row r="11" ht="18.75" spans="1:19">
      <c r="A11" s="302">
        <v>3</v>
      </c>
      <c r="B11" s="301">
        <v>7</v>
      </c>
      <c r="C11" s="303">
        <v>2114.31</v>
      </c>
      <c r="D11" s="305">
        <f t="shared" si="1"/>
        <v>2907.41</v>
      </c>
      <c r="E11" s="305">
        <f t="shared" si="2"/>
        <v>2900.825</v>
      </c>
      <c r="F11" s="306">
        <f t="shared" si="3"/>
        <v>0.728865064248964</v>
      </c>
      <c r="G11" s="304">
        <f>$D$35</f>
        <v>0.745478479812031</v>
      </c>
      <c r="H11" s="305">
        <f t="shared" si="0"/>
        <v>2973.79288235294</v>
      </c>
      <c r="I11" s="306">
        <f t="shared" si="4"/>
        <v>0.975463024749993</v>
      </c>
      <c r="K11" s="329" t="s">
        <v>1231</v>
      </c>
      <c r="L11" s="329">
        <v>16</v>
      </c>
      <c r="M11" s="326"/>
      <c r="N11" s="326"/>
      <c r="O11" s="326"/>
      <c r="P11" s="326"/>
      <c r="Q11" s="326"/>
      <c r="R11" s="326"/>
      <c r="S11" s="326"/>
    </row>
    <row r="12" ht="18" spans="1:19">
      <c r="A12" s="302">
        <v>4</v>
      </c>
      <c r="B12" s="301">
        <v>8</v>
      </c>
      <c r="C12" s="303">
        <v>3024.57</v>
      </c>
      <c r="D12" s="305">
        <f t="shared" si="1"/>
        <v>2989.96</v>
      </c>
      <c r="E12" s="305">
        <f t="shared" si="2"/>
        <v>2948.685</v>
      </c>
      <c r="F12" s="306">
        <f t="shared" si="3"/>
        <v>1.02573520060637</v>
      </c>
      <c r="G12" s="304">
        <f>$E$35</f>
        <v>1.02568491691046</v>
      </c>
      <c r="H12" s="305">
        <f t="shared" si="0"/>
        <v>3011.19179411765</v>
      </c>
      <c r="I12" s="306">
        <f t="shared" si="4"/>
        <v>0.979241842303186</v>
      </c>
      <c r="K12" s="326"/>
      <c r="L12" s="326"/>
      <c r="M12" s="326"/>
      <c r="N12" s="326"/>
      <c r="O12" s="326"/>
      <c r="P12" s="326"/>
      <c r="Q12" s="326"/>
      <c r="R12" s="326"/>
      <c r="S12" s="326"/>
    </row>
    <row r="13" ht="18.75" spans="1:19">
      <c r="A13" s="302" t="s">
        <v>1232</v>
      </c>
      <c r="B13" s="301">
        <v>9</v>
      </c>
      <c r="C13" s="303">
        <v>3327.48</v>
      </c>
      <c r="D13" s="305">
        <f t="shared" si="1"/>
        <v>3071.365</v>
      </c>
      <c r="E13" s="305">
        <f t="shared" si="2"/>
        <v>3030.6625</v>
      </c>
      <c r="F13" s="306">
        <f t="shared" si="3"/>
        <v>1.09793815708612</v>
      </c>
      <c r="G13" s="304">
        <f>$B$35</f>
        <v>1.12036186718204</v>
      </c>
      <c r="H13" s="305">
        <f t="shared" si="0"/>
        <v>3048.59070588235</v>
      </c>
      <c r="I13" s="306">
        <f t="shared" si="4"/>
        <v>0.994119182398687</v>
      </c>
      <c r="K13" s="326" t="s">
        <v>1233</v>
      </c>
      <c r="L13" s="326"/>
      <c r="M13" s="326"/>
      <c r="N13" s="326"/>
      <c r="O13" s="326"/>
      <c r="P13" s="326"/>
      <c r="Q13" s="326"/>
      <c r="R13" s="326"/>
      <c r="S13" s="326"/>
    </row>
    <row r="14" ht="18" spans="1:19">
      <c r="A14" s="302">
        <v>2</v>
      </c>
      <c r="B14" s="301">
        <v>10</v>
      </c>
      <c r="C14" s="303">
        <v>3493.48</v>
      </c>
      <c r="D14" s="305">
        <f t="shared" si="1"/>
        <v>3187.92</v>
      </c>
      <c r="E14" s="305">
        <f t="shared" si="2"/>
        <v>3129.6425</v>
      </c>
      <c r="F14" s="306">
        <f t="shared" si="3"/>
        <v>1.11625529113948</v>
      </c>
      <c r="G14" s="304">
        <f>$C$35</f>
        <v>1.10847473609547</v>
      </c>
      <c r="H14" s="305">
        <f t="shared" si="0"/>
        <v>3085.98961764706</v>
      </c>
      <c r="I14" s="306">
        <f t="shared" si="4"/>
        <v>1.01414550525488</v>
      </c>
      <c r="K14" s="330"/>
      <c r="L14" s="330" t="s">
        <v>1234</v>
      </c>
      <c r="M14" s="330" t="s">
        <v>1235</v>
      </c>
      <c r="N14" s="330" t="s">
        <v>1236</v>
      </c>
      <c r="O14" s="330" t="s">
        <v>1220</v>
      </c>
      <c r="P14" s="330" t="s">
        <v>1237</v>
      </c>
      <c r="Q14" s="326"/>
      <c r="R14" s="326"/>
      <c r="S14" s="326"/>
    </row>
    <row r="15" ht="18" spans="1:19">
      <c r="A15" s="302">
        <v>3</v>
      </c>
      <c r="B15" s="301">
        <v>11</v>
      </c>
      <c r="C15" s="303">
        <v>2439.93</v>
      </c>
      <c r="D15" s="305">
        <f t="shared" si="1"/>
        <v>3277.32</v>
      </c>
      <c r="E15" s="305">
        <f t="shared" si="2"/>
        <v>3232.62</v>
      </c>
      <c r="F15" s="306">
        <f t="shared" si="3"/>
        <v>0.754784045139856</v>
      </c>
      <c r="G15" s="304">
        <f>$D$35</f>
        <v>0.745478479812031</v>
      </c>
      <c r="H15" s="305">
        <f t="shared" si="0"/>
        <v>3123.38852941176</v>
      </c>
      <c r="I15" s="306">
        <f t="shared" si="4"/>
        <v>1.03497210467402</v>
      </c>
      <c r="K15" s="328" t="s">
        <v>1238</v>
      </c>
      <c r="L15" s="328">
        <v>1</v>
      </c>
      <c r="M15" s="328">
        <v>475550.724402647</v>
      </c>
      <c r="N15" s="328">
        <v>475550.724402647</v>
      </c>
      <c r="O15" s="328">
        <v>1.81638560001048</v>
      </c>
      <c r="P15" s="328">
        <v>0.199149911056088</v>
      </c>
      <c r="Q15" s="326"/>
      <c r="R15" s="326"/>
      <c r="S15" s="326"/>
    </row>
    <row r="16" ht="18" spans="1:19">
      <c r="A16" s="302">
        <v>4</v>
      </c>
      <c r="B16" s="301">
        <v>12</v>
      </c>
      <c r="C16" s="303">
        <v>3490.79</v>
      </c>
      <c r="D16" s="305">
        <f t="shared" si="1"/>
        <v>3319.2575</v>
      </c>
      <c r="E16" s="305">
        <f t="shared" si="2"/>
        <v>3298.28875</v>
      </c>
      <c r="F16" s="306">
        <f t="shared" si="3"/>
        <v>1.05836397738069</v>
      </c>
      <c r="G16" s="304">
        <f>$E$35</f>
        <v>1.02568491691046</v>
      </c>
      <c r="H16" s="305">
        <f t="shared" si="0"/>
        <v>3160.78744117647</v>
      </c>
      <c r="I16" s="306">
        <f t="shared" si="4"/>
        <v>1.04350223208061</v>
      </c>
      <c r="K16" s="328" t="s">
        <v>1239</v>
      </c>
      <c r="L16" s="328">
        <v>14</v>
      </c>
      <c r="M16" s="328">
        <v>3665361.66197235</v>
      </c>
      <c r="N16" s="328">
        <v>261811.54728374</v>
      </c>
      <c r="O16" s="328"/>
      <c r="P16" s="328"/>
      <c r="Q16" s="326"/>
      <c r="R16" s="326"/>
      <c r="S16" s="326"/>
    </row>
    <row r="17" ht="18.75" spans="1:19">
      <c r="A17" s="302" t="s">
        <v>1240</v>
      </c>
      <c r="B17" s="301">
        <v>13</v>
      </c>
      <c r="C17" s="303">
        <v>3685.08</v>
      </c>
      <c r="D17" s="305">
        <f t="shared" si="1"/>
        <v>3303.8825</v>
      </c>
      <c r="E17" s="305">
        <f t="shared" si="2"/>
        <v>3311.57</v>
      </c>
      <c r="F17" s="306">
        <f t="shared" si="3"/>
        <v>1.1127894020057</v>
      </c>
      <c r="G17" s="304">
        <f>$B$35</f>
        <v>1.12036186718204</v>
      </c>
      <c r="H17" s="305">
        <f t="shared" si="0"/>
        <v>3198.18635294118</v>
      </c>
      <c r="I17" s="306">
        <f t="shared" si="4"/>
        <v>1.03545248292194</v>
      </c>
      <c r="K17" s="329" t="s">
        <v>1108</v>
      </c>
      <c r="L17" s="329">
        <v>15</v>
      </c>
      <c r="M17" s="329">
        <v>4140912.386375</v>
      </c>
      <c r="N17" s="329"/>
      <c r="O17" s="329"/>
      <c r="P17" s="329"/>
      <c r="Q17" s="326"/>
      <c r="R17" s="326"/>
      <c r="S17" s="326"/>
    </row>
    <row r="18" ht="18.75" spans="1:19">
      <c r="A18" s="302">
        <v>2</v>
      </c>
      <c r="B18" s="301">
        <v>14</v>
      </c>
      <c r="C18" s="303">
        <v>3661.23</v>
      </c>
      <c r="D18" s="305">
        <f t="shared" si="1"/>
        <v>3296.0725</v>
      </c>
      <c r="E18" s="305">
        <f t="shared" si="2"/>
        <v>3299.9775</v>
      </c>
      <c r="F18" s="306">
        <f t="shared" si="3"/>
        <v>1.10947120094001</v>
      </c>
      <c r="G18" s="304">
        <f>$C$35</f>
        <v>1.10847473609547</v>
      </c>
      <c r="H18" s="305">
        <f t="shared" si="0"/>
        <v>3235.58526470588</v>
      </c>
      <c r="I18" s="306">
        <f t="shared" si="4"/>
        <v>1.01990126361265</v>
      </c>
      <c r="K18" s="326"/>
      <c r="L18" s="326"/>
      <c r="M18" s="326"/>
      <c r="N18" s="326"/>
      <c r="O18" s="326"/>
      <c r="P18" s="326"/>
      <c r="Q18" s="326"/>
      <c r="R18" s="326"/>
      <c r="S18" s="326"/>
    </row>
    <row r="19" ht="18" spans="1:19">
      <c r="A19" s="302">
        <v>3</v>
      </c>
      <c r="B19" s="301">
        <v>15</v>
      </c>
      <c r="C19" s="303">
        <v>2378.43</v>
      </c>
      <c r="D19" s="301"/>
      <c r="E19" s="301"/>
      <c r="F19" s="301"/>
      <c r="G19" s="304">
        <f>$D$35</f>
        <v>0.745478479812031</v>
      </c>
      <c r="H19" s="305">
        <f t="shared" si="0"/>
        <v>3272.98417647059</v>
      </c>
      <c r="I19" s="301"/>
      <c r="K19" s="330"/>
      <c r="L19" s="330" t="s">
        <v>1241</v>
      </c>
      <c r="M19" s="330" t="s">
        <v>1230</v>
      </c>
      <c r="N19" s="330" t="s">
        <v>1242</v>
      </c>
      <c r="O19" s="330" t="s">
        <v>1243</v>
      </c>
      <c r="P19" s="330" t="s">
        <v>1244</v>
      </c>
      <c r="Q19" s="330" t="s">
        <v>1245</v>
      </c>
      <c r="R19" s="330" t="s">
        <v>1246</v>
      </c>
      <c r="S19" s="330" t="s">
        <v>1247</v>
      </c>
    </row>
    <row r="20" ht="18" spans="1:19">
      <c r="A20" s="302">
        <v>4</v>
      </c>
      <c r="B20" s="301">
        <v>16</v>
      </c>
      <c r="C20" s="303">
        <v>3459.55</v>
      </c>
      <c r="D20" s="301"/>
      <c r="E20" s="301"/>
      <c r="F20" s="301"/>
      <c r="G20" s="304">
        <f>$E$35</f>
        <v>1.02568491691046</v>
      </c>
      <c r="H20" s="305">
        <f t="shared" si="0"/>
        <v>3310.38308823529</v>
      </c>
      <c r="I20" s="301"/>
      <c r="K20" s="328" t="s">
        <v>1248</v>
      </c>
      <c r="L20" s="328">
        <v>2712.0005</v>
      </c>
      <c r="M20" s="328">
        <v>268.324757529059</v>
      </c>
      <c r="N20" s="328">
        <v>10.107157181373</v>
      </c>
      <c r="O20" s="328">
        <v>8.18472652253931e-8</v>
      </c>
      <c r="P20" s="328">
        <v>2136.5011320129</v>
      </c>
      <c r="Q20" s="328">
        <v>3287.4998679871</v>
      </c>
      <c r="R20" s="328">
        <v>2136.5011320129</v>
      </c>
      <c r="S20" s="328">
        <v>3287.4998679871</v>
      </c>
    </row>
    <row r="21" ht="18.75" spans="1:19">
      <c r="A21" s="307" t="s">
        <v>1249</v>
      </c>
      <c r="B21" s="308">
        <v>17</v>
      </c>
      <c r="C21" s="309">
        <f t="shared" ref="C21:C24" si="5">E39</f>
        <v>3761.42080919326</v>
      </c>
      <c r="D21" s="310"/>
      <c r="E21" s="310"/>
      <c r="F21" s="311"/>
      <c r="G21" s="311"/>
      <c r="H21" s="310"/>
      <c r="I21" s="289"/>
      <c r="K21" s="329" t="s">
        <v>1250</v>
      </c>
      <c r="L21" s="329">
        <v>37.3989117647059</v>
      </c>
      <c r="M21" s="329">
        <v>27.749485807835</v>
      </c>
      <c r="N21" s="329">
        <v>1.34773350481854</v>
      </c>
      <c r="O21" s="329">
        <v>0.199149911056088</v>
      </c>
      <c r="P21" s="329">
        <v>-22.1178159925026</v>
      </c>
      <c r="Q21" s="329">
        <v>96.9156395219143</v>
      </c>
      <c r="R21" s="329">
        <v>-22.1178159925026</v>
      </c>
      <c r="S21" s="329">
        <v>96.9156395219143</v>
      </c>
    </row>
    <row r="22" ht="18" spans="1:19">
      <c r="A22" s="307">
        <v>2</v>
      </c>
      <c r="B22" s="308">
        <v>18</v>
      </c>
      <c r="C22" s="309">
        <f t="shared" si="5"/>
        <v>3765.58364812086</v>
      </c>
      <c r="D22" s="310"/>
      <c r="E22" s="310"/>
      <c r="F22" s="311"/>
      <c r="G22" s="311"/>
      <c r="H22" s="310"/>
      <c r="I22" s="289"/>
      <c r="K22" s="326"/>
      <c r="L22" s="326"/>
      <c r="M22" s="326"/>
      <c r="N22" s="326"/>
      <c r="O22" s="326"/>
      <c r="P22" s="326"/>
      <c r="Q22" s="326"/>
      <c r="R22" s="326"/>
      <c r="S22" s="326"/>
    </row>
    <row r="23" ht="18" spans="1:19">
      <c r="A23" s="307">
        <v>3</v>
      </c>
      <c r="B23" s="308">
        <v>19</v>
      </c>
      <c r="C23" s="309">
        <f t="shared" si="5"/>
        <v>2545.06216586314</v>
      </c>
      <c r="D23" s="310"/>
      <c r="E23" s="310"/>
      <c r="F23" s="311"/>
      <c r="G23" s="311"/>
      <c r="H23" s="310"/>
      <c r="I23" s="289"/>
      <c r="K23" s="326"/>
      <c r="L23" s="326"/>
      <c r="M23" s="326"/>
      <c r="N23" s="326"/>
      <c r="O23" s="326"/>
      <c r="P23" s="326"/>
      <c r="Q23" s="326"/>
      <c r="R23" s="326"/>
      <c r="S23" s="326"/>
    </row>
    <row r="24" ht="18" spans="1:19">
      <c r="A24" s="307">
        <v>4</v>
      </c>
      <c r="B24" s="308">
        <v>20</v>
      </c>
      <c r="C24" s="309">
        <f t="shared" si="5"/>
        <v>3558.80577651879</v>
      </c>
      <c r="D24" s="310"/>
      <c r="E24" s="310"/>
      <c r="F24" s="311"/>
      <c r="G24" s="311"/>
      <c r="H24" s="310"/>
      <c r="I24" s="289"/>
      <c r="K24" s="326"/>
      <c r="L24" s="326"/>
      <c r="M24" s="326"/>
      <c r="N24" s="326"/>
      <c r="O24" s="326"/>
      <c r="P24" s="326"/>
      <c r="Q24" s="326"/>
      <c r="R24" s="326"/>
      <c r="S24" s="326"/>
    </row>
    <row r="25" spans="11:19">
      <c r="K25" s="326" t="s">
        <v>1251</v>
      </c>
      <c r="L25" s="326"/>
      <c r="M25" s="326"/>
      <c r="N25" s="326"/>
      <c r="O25" s="326"/>
      <c r="P25" s="326"/>
      <c r="Q25" s="326"/>
      <c r="R25" s="326"/>
      <c r="S25" s="326"/>
    </row>
    <row r="26" ht="18.75" spans="1:19">
      <c r="A26" s="312" t="s">
        <v>1252</v>
      </c>
      <c r="G26" s="313"/>
      <c r="K26" s="326"/>
      <c r="L26" s="326"/>
      <c r="M26" s="326"/>
      <c r="N26" s="326"/>
      <c r="O26" s="326"/>
      <c r="P26" s="326"/>
      <c r="Q26" s="326"/>
      <c r="R26" s="326"/>
      <c r="S26" s="326"/>
    </row>
    <row r="27" spans="1:19">
      <c r="A27" s="314" t="s">
        <v>1253</v>
      </c>
      <c r="B27" s="315">
        <f>$L$20</f>
        <v>2712.0005</v>
      </c>
      <c r="C27" s="316" t="s">
        <v>1254</v>
      </c>
      <c r="D27" s="317">
        <f>$L$21</f>
        <v>37.3989117647059</v>
      </c>
      <c r="E27" s="318" t="s">
        <v>1255</v>
      </c>
      <c r="K27" s="330" t="s">
        <v>1231</v>
      </c>
      <c r="L27" s="330" t="s">
        <v>1256</v>
      </c>
      <c r="M27" s="330" t="s">
        <v>1239</v>
      </c>
      <c r="N27" s="326"/>
      <c r="O27" s="326"/>
      <c r="P27" s="326"/>
      <c r="Q27" s="326"/>
      <c r="R27" s="326"/>
      <c r="S27" s="326"/>
    </row>
    <row r="28" spans="11:19">
      <c r="K28" s="328">
        <v>1</v>
      </c>
      <c r="L28" s="328">
        <v>2749.39941176471</v>
      </c>
      <c r="M28" s="328">
        <v>268.200588235293</v>
      </c>
      <c r="N28" s="326"/>
      <c r="O28" s="326"/>
      <c r="P28" s="326"/>
      <c r="Q28" s="326"/>
      <c r="R28" s="326"/>
      <c r="S28" s="326"/>
    </row>
    <row r="29" ht="18" spans="1:19">
      <c r="A29" s="301" t="s">
        <v>1257</v>
      </c>
      <c r="B29" s="301" t="s">
        <v>1258</v>
      </c>
      <c r="C29" s="301" t="s">
        <v>1259</v>
      </c>
      <c r="D29" s="301" t="s">
        <v>1260</v>
      </c>
      <c r="E29" s="301" t="s">
        <v>1261</v>
      </c>
      <c r="K29" s="328">
        <v>2</v>
      </c>
      <c r="L29" s="328">
        <v>2786.79832352941</v>
      </c>
      <c r="M29" s="328">
        <v>256.741676470588</v>
      </c>
      <c r="N29" s="326"/>
      <c r="O29" s="326"/>
      <c r="P29" s="326"/>
      <c r="Q29" s="326"/>
      <c r="R29" s="326"/>
      <c r="S29" s="326"/>
    </row>
    <row r="30" ht="18" spans="1:19">
      <c r="A30" s="301">
        <v>2010</v>
      </c>
      <c r="B30" s="319"/>
      <c r="C30" s="319"/>
      <c r="D30" s="306">
        <f>F7</f>
        <v>0.75513366318338</v>
      </c>
      <c r="E30" s="306">
        <f>F8</f>
        <v>0.996185208820818</v>
      </c>
      <c r="F30" s="320"/>
      <c r="G30" s="320"/>
      <c r="K30" s="328">
        <v>3</v>
      </c>
      <c r="L30" s="328">
        <v>2824.19723529412</v>
      </c>
      <c r="M30" s="328">
        <v>-729.847235294118</v>
      </c>
      <c r="N30" s="326"/>
      <c r="O30" s="326"/>
      <c r="P30" s="326"/>
      <c r="Q30" s="326"/>
      <c r="R30" s="326"/>
      <c r="S30" s="326"/>
    </row>
    <row r="31" ht="18" spans="1:19">
      <c r="A31" s="301">
        <v>2011</v>
      </c>
      <c r="B31" s="306">
        <f>F9</f>
        <v>1.15388579356515</v>
      </c>
      <c r="C31" s="306">
        <f>F10</f>
        <v>1.10318803758982</v>
      </c>
      <c r="D31" s="306">
        <f>F11</f>
        <v>0.728865064248964</v>
      </c>
      <c r="E31" s="306">
        <f>F12</f>
        <v>1.02573520060637</v>
      </c>
      <c r="F31" s="320"/>
      <c r="G31" s="320"/>
      <c r="K31" s="328">
        <v>4</v>
      </c>
      <c r="L31" s="328">
        <v>2861.59614705882</v>
      </c>
      <c r="M31" s="328">
        <v>-51.7561470588239</v>
      </c>
      <c r="N31" s="326"/>
      <c r="O31" s="326"/>
      <c r="P31" s="326"/>
      <c r="Q31" s="326"/>
      <c r="R31" s="326"/>
      <c r="S31" s="326"/>
    </row>
    <row r="32" ht="18" spans="1:19">
      <c r="A32" s="301">
        <v>2012</v>
      </c>
      <c r="B32" s="306">
        <f>F13</f>
        <v>1.09793815708612</v>
      </c>
      <c r="C32" s="306">
        <f>F14</f>
        <v>1.11625529113948</v>
      </c>
      <c r="D32" s="306">
        <f>F15</f>
        <v>0.754784045139856</v>
      </c>
      <c r="E32" s="306">
        <f>F16</f>
        <v>1.05836397738069</v>
      </c>
      <c r="F32" s="320"/>
      <c r="G32" s="320"/>
      <c r="K32" s="328">
        <v>5</v>
      </c>
      <c r="L32" s="328">
        <v>2898.99505882353</v>
      </c>
      <c r="M32" s="328">
        <v>375.80494117647</v>
      </c>
      <c r="N32" s="326"/>
      <c r="O32" s="326"/>
      <c r="P32" s="326"/>
      <c r="Q32" s="326"/>
      <c r="R32" s="326"/>
      <c r="S32" s="326"/>
    </row>
    <row r="33" ht="18" spans="1:19">
      <c r="A33" s="301">
        <v>2013</v>
      </c>
      <c r="B33" s="306">
        <f>F17</f>
        <v>1.1127894020057</v>
      </c>
      <c r="C33" s="306">
        <f>F18</f>
        <v>1.10947120094001</v>
      </c>
      <c r="D33" s="319"/>
      <c r="E33" s="319"/>
      <c r="F33" s="320"/>
      <c r="G33" s="320"/>
      <c r="K33" s="328">
        <v>6</v>
      </c>
      <c r="L33" s="328">
        <v>2936.39397058824</v>
      </c>
      <c r="M33" s="328">
        <v>226.886029411764</v>
      </c>
      <c r="N33" s="326"/>
      <c r="O33" s="326"/>
      <c r="P33" s="326"/>
      <c r="Q33" s="326"/>
      <c r="R33" s="326"/>
      <c r="S33" s="326"/>
    </row>
    <row r="34" ht="18" spans="1:19">
      <c r="A34" s="301" t="s">
        <v>1262</v>
      </c>
      <c r="B34" s="306">
        <f>AVERAGE(B30:B33)</f>
        <v>1.12153778421899</v>
      </c>
      <c r="C34" s="306">
        <f>AVERAGE(C30:C33)</f>
        <v>1.10963817655644</v>
      </c>
      <c r="D34" s="306">
        <f>AVERAGE(D30:D33)</f>
        <v>0.746260924190733</v>
      </c>
      <c r="E34" s="306">
        <f>AVERAGE(E30:E33)</f>
        <v>1.0267614622693</v>
      </c>
      <c r="F34" s="306">
        <f>SUM(B34:E34)</f>
        <v>4.00419834723545</v>
      </c>
      <c r="G34" s="320"/>
      <c r="K34" s="328">
        <v>7</v>
      </c>
      <c r="L34" s="328">
        <v>2973.79288235294</v>
      </c>
      <c r="M34" s="328">
        <v>-859.482882352942</v>
      </c>
      <c r="N34" s="326"/>
      <c r="O34" s="326"/>
      <c r="P34" s="326"/>
      <c r="Q34" s="326"/>
      <c r="R34" s="326"/>
      <c r="S34" s="326"/>
    </row>
    <row r="35" ht="18" spans="1:19">
      <c r="A35" s="301" t="s">
        <v>1263</v>
      </c>
      <c r="B35" s="306">
        <f>B34*4/$F$34</f>
        <v>1.12036186718204</v>
      </c>
      <c r="C35" s="306">
        <f>C34*4/$F$34</f>
        <v>1.10847473609547</v>
      </c>
      <c r="D35" s="306">
        <f>D34*4/$F$34</f>
        <v>0.745478479812031</v>
      </c>
      <c r="E35" s="306">
        <f>E34*4/$F$34</f>
        <v>1.02568491691046</v>
      </c>
      <c r="F35" s="306">
        <f>SUM(B35:E35)</f>
        <v>4</v>
      </c>
      <c r="G35" s="321"/>
      <c r="K35" s="328">
        <v>8</v>
      </c>
      <c r="L35" s="328">
        <v>3011.19179411765</v>
      </c>
      <c r="M35" s="328">
        <v>13.3782058823526</v>
      </c>
      <c r="N35" s="326"/>
      <c r="O35" s="326"/>
      <c r="P35" s="326"/>
      <c r="Q35" s="326"/>
      <c r="R35" s="326"/>
      <c r="S35" s="326"/>
    </row>
    <row r="36" spans="7:19">
      <c r="G36" s="321"/>
      <c r="K36" s="328">
        <v>9</v>
      </c>
      <c r="L36" s="328">
        <v>3048.59070588235</v>
      </c>
      <c r="M36" s="328">
        <v>278.889294117646</v>
      </c>
      <c r="N36" s="326"/>
      <c r="O36" s="326"/>
      <c r="P36" s="326"/>
      <c r="Q36" s="326"/>
      <c r="R36" s="326"/>
      <c r="S36" s="326"/>
    </row>
    <row r="37" ht="18" spans="1:19">
      <c r="A37" s="322" t="s">
        <v>1264</v>
      </c>
      <c r="B37" s="312"/>
      <c r="C37" s="312"/>
      <c r="D37" s="312"/>
      <c r="E37" s="323"/>
      <c r="K37" s="328">
        <v>10</v>
      </c>
      <c r="L37" s="328">
        <v>3085.98961764706</v>
      </c>
      <c r="M37" s="328">
        <v>407.490382352941</v>
      </c>
      <c r="N37" s="326"/>
      <c r="O37" s="326"/>
      <c r="P37" s="326"/>
      <c r="Q37" s="326"/>
      <c r="R37" s="326"/>
      <c r="S37" s="326"/>
    </row>
    <row r="38" ht="18" spans="1:19">
      <c r="A38" s="301" t="s">
        <v>1206</v>
      </c>
      <c r="B38" s="301" t="s">
        <v>1265</v>
      </c>
      <c r="C38" s="301" t="s">
        <v>1266</v>
      </c>
      <c r="D38" s="301" t="s">
        <v>1217</v>
      </c>
      <c r="E38" s="301" t="s">
        <v>1267</v>
      </c>
      <c r="K38" s="328">
        <v>11</v>
      </c>
      <c r="L38" s="328">
        <v>3123.38852941177</v>
      </c>
      <c r="M38" s="328">
        <v>-683.458529411766</v>
      </c>
      <c r="N38" s="326"/>
      <c r="O38" s="326"/>
      <c r="P38" s="326"/>
      <c r="Q38" s="326"/>
      <c r="R38" s="326"/>
      <c r="S38" s="326"/>
    </row>
    <row r="39" ht="18" spans="1:19">
      <c r="A39" s="301">
        <v>1</v>
      </c>
      <c r="B39" s="305">
        <f t="shared" ref="B39:B42" si="6">$B$27+$D$27*B21</f>
        <v>3347.782</v>
      </c>
      <c r="C39" s="324">
        <f>$B$35</f>
        <v>1.12036186718204</v>
      </c>
      <c r="D39" s="324">
        <f>(I9+I13+I17)/3</f>
        <v>1.00285105152177</v>
      </c>
      <c r="E39" s="325">
        <f t="shared" ref="E39:E42" si="7">B39*C39*D39</f>
        <v>3761.42080919326</v>
      </c>
      <c r="K39" s="328">
        <v>12</v>
      </c>
      <c r="L39" s="328">
        <v>3160.78744117647</v>
      </c>
      <c r="M39" s="328">
        <v>330.002558823529</v>
      </c>
      <c r="N39" s="326"/>
      <c r="O39" s="326"/>
      <c r="P39" s="326"/>
      <c r="Q39" s="326"/>
      <c r="R39" s="326"/>
      <c r="S39" s="326"/>
    </row>
    <row r="40" ht="18" spans="1:19">
      <c r="A40" s="301">
        <v>2</v>
      </c>
      <c r="B40" s="305">
        <f t="shared" si="6"/>
        <v>3385.18091176471</v>
      </c>
      <c r="C40" s="324">
        <f>$C$35</f>
        <v>1.10847473609547</v>
      </c>
      <c r="D40" s="324">
        <f>(I10+I14+I18)/3</f>
        <v>1.00351672908367</v>
      </c>
      <c r="E40" s="325">
        <f t="shared" si="7"/>
        <v>3765.58364812086</v>
      </c>
      <c r="K40" s="328">
        <v>13</v>
      </c>
      <c r="L40" s="328">
        <v>3198.18635294118</v>
      </c>
      <c r="M40" s="328">
        <v>486.893647058823</v>
      </c>
      <c r="N40" s="326"/>
      <c r="O40" s="326"/>
      <c r="P40" s="326"/>
      <c r="Q40" s="326"/>
      <c r="R40" s="326"/>
      <c r="S40" s="326"/>
    </row>
    <row r="41" ht="18" spans="1:19">
      <c r="A41" s="301">
        <v>3</v>
      </c>
      <c r="B41" s="305">
        <f t="shared" si="6"/>
        <v>3422.57982352941</v>
      </c>
      <c r="C41" s="324">
        <f>$D$35</f>
        <v>0.745478479812031</v>
      </c>
      <c r="D41" s="324">
        <f>(I7+I11+I15)/3</f>
        <v>0.997492635977003</v>
      </c>
      <c r="E41" s="325">
        <f t="shared" si="7"/>
        <v>2545.06216586314</v>
      </c>
      <c r="K41" s="328">
        <v>14</v>
      </c>
      <c r="L41" s="328">
        <v>3235.58526470588</v>
      </c>
      <c r="M41" s="328">
        <v>425.644735294117</v>
      </c>
      <c r="N41" s="326"/>
      <c r="O41" s="326"/>
      <c r="P41" s="326"/>
      <c r="Q41" s="326"/>
      <c r="R41" s="326"/>
      <c r="S41" s="326"/>
    </row>
    <row r="42" ht="18" spans="1:19">
      <c r="A42" s="301">
        <v>4</v>
      </c>
      <c r="B42" s="305">
        <f t="shared" si="6"/>
        <v>3459.97873529412</v>
      </c>
      <c r="C42" s="324">
        <f>$E$35</f>
        <v>1.02568491691046</v>
      </c>
      <c r="D42" s="324">
        <f>(I8+I12+I16)/3</f>
        <v>1.00280591755188</v>
      </c>
      <c r="E42" s="325">
        <f t="shared" si="7"/>
        <v>3558.80577651879</v>
      </c>
      <c r="K42" s="328">
        <v>15</v>
      </c>
      <c r="L42" s="328">
        <v>3272.98417647059</v>
      </c>
      <c r="M42" s="328">
        <v>-894.554176470589</v>
      </c>
      <c r="N42" s="326"/>
      <c r="O42" s="326"/>
      <c r="P42" s="326"/>
      <c r="Q42" s="326"/>
      <c r="R42" s="326"/>
      <c r="S42" s="326"/>
    </row>
    <row r="43" ht="18" spans="1:19">
      <c r="A43" s="149"/>
      <c r="B43" s="149"/>
      <c r="C43" s="149"/>
      <c r="D43" s="149"/>
      <c r="E43" s="149"/>
      <c r="F43" s="149"/>
      <c r="G43" s="149"/>
      <c r="H43" s="149"/>
      <c r="I43" s="149"/>
      <c r="K43" s="329">
        <v>16</v>
      </c>
      <c r="L43" s="329">
        <v>3310.38308823529</v>
      </c>
      <c r="M43" s="329">
        <v>149.166911764706</v>
      </c>
      <c r="N43" s="326"/>
      <c r="O43" s="326"/>
      <c r="P43" s="326"/>
      <c r="Q43" s="326"/>
      <c r="R43" s="326"/>
      <c r="S43" s="326"/>
    </row>
    <row r="44" ht="18" customHeight="1"/>
  </sheetData>
  <mergeCells count="5">
    <mergeCell ref="A1:I1"/>
    <mergeCell ref="A2:C2"/>
    <mergeCell ref="H2:I2"/>
    <mergeCell ref="A37:E37"/>
    <mergeCell ref="A43:I43"/>
  </mergeCells>
  <pageMargins left="0.75" right="0.75" top="1" bottom="1" header="0.509027777777778" footer="0.509027777777778"/>
  <headerFooter/>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G23"/>
  <sheetViews>
    <sheetView zoomScale="90" zoomScaleNormal="90" workbookViewId="0">
      <selection activeCell="K12" sqref="K12"/>
    </sheetView>
  </sheetViews>
  <sheetFormatPr defaultColWidth="9" defaultRowHeight="14.25" outlineLevelCol="6"/>
  <cols>
    <col min="1" max="1" width="22.875" style="284" customWidth="1"/>
    <col min="2" max="6" width="15.625" style="284" customWidth="1"/>
    <col min="7" max="7" width="22.75" style="284" customWidth="1"/>
    <col min="8" max="16384" width="9" style="284"/>
  </cols>
  <sheetData>
    <row r="1" ht="30" customHeight="1" spans="1:7">
      <c r="A1" s="285" t="s">
        <v>1268</v>
      </c>
      <c r="B1" s="285"/>
      <c r="C1" s="285"/>
      <c r="D1" s="285"/>
      <c r="E1" s="285"/>
      <c r="F1" s="285"/>
      <c r="G1" s="285"/>
    </row>
    <row r="2" ht="20.1" customHeight="1" spans="1:7">
      <c r="A2" s="286"/>
      <c r="B2" s="286"/>
      <c r="C2" s="287" t="str">
        <f>[1]资产负债表!C3</f>
        <v>年    月    日</v>
      </c>
      <c r="D2" s="287"/>
      <c r="E2" s="287"/>
      <c r="F2" s="288" t="s">
        <v>198</v>
      </c>
      <c r="G2" s="288"/>
    </row>
    <row r="3" ht="20.1" customHeight="1" spans="1:7">
      <c r="A3" s="289" t="s">
        <v>1269</v>
      </c>
      <c r="B3" s="289" t="s">
        <v>1270</v>
      </c>
      <c r="C3" s="289" t="s">
        <v>1271</v>
      </c>
      <c r="D3" s="289" t="s">
        <v>1272</v>
      </c>
      <c r="E3" s="289" t="s">
        <v>1273</v>
      </c>
      <c r="F3" s="289" t="s">
        <v>1274</v>
      </c>
      <c r="G3" s="289" t="s">
        <v>707</v>
      </c>
    </row>
    <row r="4" ht="20.1" customHeight="1" spans="1:7">
      <c r="A4" s="290" t="s">
        <v>1275</v>
      </c>
      <c r="B4" s="291"/>
      <c r="C4" s="292"/>
      <c r="D4" s="292"/>
      <c r="E4" s="292"/>
      <c r="F4" s="292"/>
      <c r="G4" s="293"/>
    </row>
    <row r="5" ht="20.1" customHeight="1" spans="1:7">
      <c r="A5" s="294" t="s">
        <v>1276</v>
      </c>
      <c r="B5" s="292"/>
      <c r="C5" s="292"/>
      <c r="D5" s="292"/>
      <c r="E5" s="292"/>
      <c r="F5" s="292"/>
      <c r="G5" s="293"/>
    </row>
    <row r="6" ht="20.1" customHeight="1" spans="1:7">
      <c r="A6" s="295" t="s">
        <v>1277</v>
      </c>
      <c r="B6" s="296">
        <f t="shared" ref="B6:F6" si="0">B4+B5</f>
        <v>0</v>
      </c>
      <c r="C6" s="296">
        <f t="shared" si="0"/>
        <v>0</v>
      </c>
      <c r="D6" s="296">
        <f t="shared" si="0"/>
        <v>0</v>
      </c>
      <c r="E6" s="296">
        <f t="shared" si="0"/>
        <v>0</v>
      </c>
      <c r="F6" s="296">
        <f t="shared" si="0"/>
        <v>0</v>
      </c>
      <c r="G6" s="293"/>
    </row>
    <row r="7" ht="20.1" customHeight="1" spans="1:7">
      <c r="A7" s="294" t="s">
        <v>1278</v>
      </c>
      <c r="B7" s="292"/>
      <c r="C7" s="292"/>
      <c r="D7" s="292"/>
      <c r="E7" s="292"/>
      <c r="F7" s="292"/>
      <c r="G7" s="293"/>
    </row>
    <row r="8" ht="20.1" customHeight="1" spans="1:7">
      <c r="A8" s="294" t="s">
        <v>1279</v>
      </c>
      <c r="B8" s="292"/>
      <c r="C8" s="292"/>
      <c r="D8" s="292"/>
      <c r="E8" s="292"/>
      <c r="F8" s="292"/>
      <c r="G8" s="293"/>
    </row>
    <row r="9" ht="20.1" customHeight="1" spans="1:7">
      <c r="A9" s="294" t="s">
        <v>1280</v>
      </c>
      <c r="B9" s="292"/>
      <c r="C9" s="292"/>
      <c r="D9" s="292"/>
      <c r="E9" s="292"/>
      <c r="F9" s="292"/>
      <c r="G9" s="293"/>
    </row>
    <row r="10" ht="20.1" customHeight="1" spans="1:7">
      <c r="A10" s="294" t="s">
        <v>1281</v>
      </c>
      <c r="B10" s="292"/>
      <c r="C10" s="292"/>
      <c r="D10" s="292"/>
      <c r="E10" s="292"/>
      <c r="F10" s="292"/>
      <c r="G10" s="293"/>
    </row>
    <row r="11" ht="20.1" customHeight="1" spans="1:7">
      <c r="A11" s="294" t="s">
        <v>1282</v>
      </c>
      <c r="B11" s="292"/>
      <c r="C11" s="292"/>
      <c r="D11" s="292"/>
      <c r="E11" s="292"/>
      <c r="F11" s="292"/>
      <c r="G11" s="293"/>
    </row>
    <row r="12" ht="20.1" customHeight="1" spans="1:7">
      <c r="A12" s="294" t="s">
        <v>1283</v>
      </c>
      <c r="B12" s="292"/>
      <c r="C12" s="292"/>
      <c r="D12" s="292"/>
      <c r="E12" s="292"/>
      <c r="F12" s="292"/>
      <c r="G12" s="293"/>
    </row>
    <row r="13" ht="20.1" customHeight="1" spans="1:7">
      <c r="A13" s="294" t="s">
        <v>1284</v>
      </c>
      <c r="B13" s="292"/>
      <c r="C13" s="292"/>
      <c r="D13" s="292"/>
      <c r="E13" s="292"/>
      <c r="F13" s="292"/>
      <c r="G13" s="293"/>
    </row>
    <row r="14" ht="20.1" customHeight="1" spans="1:7">
      <c r="A14" s="294" t="s">
        <v>1285</v>
      </c>
      <c r="B14" s="292"/>
      <c r="C14" s="292"/>
      <c r="D14" s="292"/>
      <c r="E14" s="292"/>
      <c r="F14" s="292"/>
      <c r="G14" s="293"/>
    </row>
    <row r="15" ht="20.1" customHeight="1" spans="1:7">
      <c r="A15" s="294" t="s">
        <v>1286</v>
      </c>
      <c r="B15" s="292"/>
      <c r="C15" s="292"/>
      <c r="D15" s="292"/>
      <c r="E15" s="292"/>
      <c r="F15" s="292"/>
      <c r="G15" s="293"/>
    </row>
    <row r="16" ht="20.1" customHeight="1" spans="1:7">
      <c r="A16" s="294" t="s">
        <v>1287</v>
      </c>
      <c r="B16" s="296">
        <f t="shared" ref="B16:F16" si="1">SUM(B8:B15)</f>
        <v>0</v>
      </c>
      <c r="C16" s="296">
        <f t="shared" si="1"/>
        <v>0</v>
      </c>
      <c r="D16" s="296">
        <f t="shared" si="1"/>
        <v>0</v>
      </c>
      <c r="E16" s="296">
        <f t="shared" si="1"/>
        <v>0</v>
      </c>
      <c r="F16" s="296">
        <f t="shared" si="1"/>
        <v>0</v>
      </c>
      <c r="G16" s="293"/>
    </row>
    <row r="17" ht="20.1" customHeight="1" spans="1:7">
      <c r="A17" s="294" t="s">
        <v>1288</v>
      </c>
      <c r="B17" s="296">
        <f t="shared" ref="B17:F17" si="2">B6-B16</f>
        <v>0</v>
      </c>
      <c r="C17" s="296">
        <f t="shared" si="2"/>
        <v>0</v>
      </c>
      <c r="D17" s="296">
        <f t="shared" si="2"/>
        <v>0</v>
      </c>
      <c r="E17" s="296">
        <f t="shared" si="2"/>
        <v>0</v>
      </c>
      <c r="F17" s="296">
        <f t="shared" si="2"/>
        <v>0</v>
      </c>
      <c r="G17" s="293"/>
    </row>
    <row r="18" ht="20.1" customHeight="1" spans="1:7">
      <c r="A18" s="294" t="s">
        <v>1289</v>
      </c>
      <c r="B18" s="292"/>
      <c r="C18" s="292"/>
      <c r="D18" s="292"/>
      <c r="E18" s="292"/>
      <c r="F18" s="292"/>
      <c r="G18" s="293"/>
    </row>
    <row r="19" ht="20.1" customHeight="1" spans="1:7">
      <c r="A19" s="294" t="s">
        <v>1290</v>
      </c>
      <c r="B19" s="292"/>
      <c r="C19" s="292"/>
      <c r="D19" s="292"/>
      <c r="E19" s="292"/>
      <c r="F19" s="292"/>
      <c r="G19" s="293"/>
    </row>
    <row r="20" ht="20.1" customHeight="1" spans="1:7">
      <c r="A20" s="294" t="s">
        <v>1291</v>
      </c>
      <c r="B20" s="292"/>
      <c r="C20" s="292"/>
      <c r="D20" s="292"/>
      <c r="E20" s="292"/>
      <c r="F20" s="292"/>
      <c r="G20" s="293"/>
    </row>
    <row r="21" ht="20.1" customHeight="1" spans="1:7">
      <c r="A21" s="294" t="s">
        <v>1292</v>
      </c>
      <c r="B21" s="292"/>
      <c r="C21" s="292"/>
      <c r="D21" s="292"/>
      <c r="E21" s="292"/>
      <c r="F21" s="292"/>
      <c r="G21" s="293"/>
    </row>
    <row r="22" ht="20.1" customHeight="1" spans="1:7">
      <c r="A22" s="290" t="s">
        <v>1293</v>
      </c>
      <c r="B22" s="296">
        <f t="shared" ref="B22:F22" si="3">B17+B18-B19-B20-B21</f>
        <v>0</v>
      </c>
      <c r="C22" s="296">
        <f t="shared" si="3"/>
        <v>0</v>
      </c>
      <c r="D22" s="296">
        <f t="shared" si="3"/>
        <v>0</v>
      </c>
      <c r="E22" s="296">
        <f t="shared" si="3"/>
        <v>0</v>
      </c>
      <c r="F22" s="296">
        <f t="shared" si="3"/>
        <v>0</v>
      </c>
      <c r="G22" s="293"/>
    </row>
    <row r="23" ht="20.1" customHeight="1" spans="1:7">
      <c r="A23" s="297"/>
      <c r="B23" s="297"/>
      <c r="C23" s="297"/>
      <c r="D23" s="297"/>
      <c r="E23" s="297"/>
      <c r="F23" s="297"/>
      <c r="G23" s="297"/>
    </row>
  </sheetData>
  <mergeCells count="5">
    <mergeCell ref="A1:G1"/>
    <mergeCell ref="A2:B2"/>
    <mergeCell ref="C2:E2"/>
    <mergeCell ref="F2:G2"/>
    <mergeCell ref="A23:G23"/>
  </mergeCells>
  <pageMargins left="0.75" right="0.75" top="1" bottom="1" header="0.509027777777778" footer="0.509027777777778"/>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IV38"/>
  <sheetViews>
    <sheetView showGridLines="0" tabSelected="1" zoomScale="90" zoomScaleNormal="90" topLeftCell="A6" workbookViewId="0">
      <selection activeCell="F9" sqref="F9"/>
    </sheetView>
  </sheetViews>
  <sheetFormatPr defaultColWidth="8" defaultRowHeight="17.25"/>
  <cols>
    <col min="1" max="7" width="16.25" style="1086" customWidth="1"/>
    <col min="8" max="8" width="16.25" style="1087" customWidth="1"/>
    <col min="9" max="255" width="8" style="1086" customWidth="1"/>
    <col min="256" max="256" width="8" style="553"/>
  </cols>
  <sheetData>
    <row r="1" s="1081" customFormat="1" ht="36.75" customHeight="1" spans="1:256">
      <c r="A1" s="1088" t="s">
        <v>162</v>
      </c>
      <c r="B1" s="1088"/>
      <c r="C1" s="1088"/>
      <c r="D1" s="1088"/>
      <c r="E1" s="1088"/>
      <c r="F1" s="1088"/>
      <c r="G1" s="1088"/>
      <c r="H1" s="1088"/>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c r="AM1" s="1111"/>
      <c r="AN1" s="1111"/>
      <c r="AO1" s="1111"/>
      <c r="AP1" s="1111"/>
      <c r="AQ1" s="1111"/>
      <c r="AR1" s="1111"/>
      <c r="AS1" s="1111"/>
      <c r="AT1" s="1111"/>
      <c r="AU1" s="1111"/>
      <c r="AV1" s="1111"/>
      <c r="AW1" s="1111"/>
      <c r="AX1" s="1111"/>
      <c r="AY1" s="1111"/>
      <c r="AZ1" s="1111"/>
      <c r="BA1" s="1111"/>
      <c r="BB1" s="1111"/>
      <c r="BC1" s="1111"/>
      <c r="BD1" s="1111"/>
      <c r="BE1" s="1111"/>
      <c r="BF1" s="1111"/>
      <c r="BG1" s="1111"/>
      <c r="BH1" s="1111"/>
      <c r="BI1" s="1111"/>
      <c r="BJ1" s="1111"/>
      <c r="BK1" s="1111"/>
      <c r="BL1" s="1111"/>
      <c r="BM1" s="1111"/>
      <c r="BN1" s="1111"/>
      <c r="BO1" s="1111"/>
      <c r="BP1" s="1111"/>
      <c r="BQ1" s="1111"/>
      <c r="BR1" s="1111"/>
      <c r="BS1" s="1111"/>
      <c r="BT1" s="1111"/>
      <c r="BU1" s="1111"/>
      <c r="BV1" s="1111"/>
      <c r="BW1" s="1111"/>
      <c r="BX1" s="1111"/>
      <c r="BY1" s="1111"/>
      <c r="BZ1" s="1111"/>
      <c r="CA1" s="1111"/>
      <c r="CB1" s="1111"/>
      <c r="CC1" s="1111"/>
      <c r="CD1" s="1111"/>
      <c r="CE1" s="1111"/>
      <c r="CF1" s="1111"/>
      <c r="CG1" s="1111"/>
      <c r="CH1" s="1111"/>
      <c r="CI1" s="1111"/>
      <c r="CJ1" s="1111"/>
      <c r="CK1" s="1111"/>
      <c r="CL1" s="1111"/>
      <c r="CM1" s="1111"/>
      <c r="CN1" s="1111"/>
      <c r="CO1" s="1111"/>
      <c r="CP1" s="1111"/>
      <c r="CQ1" s="1111"/>
      <c r="CR1" s="1111"/>
      <c r="CS1" s="1111"/>
      <c r="CT1" s="1111"/>
      <c r="CU1" s="1111"/>
      <c r="CV1" s="1111"/>
      <c r="CW1" s="1111"/>
      <c r="CX1" s="1111"/>
      <c r="CY1" s="1111"/>
      <c r="CZ1" s="1111"/>
      <c r="DA1" s="1111"/>
      <c r="DB1" s="1111"/>
      <c r="DC1" s="1111"/>
      <c r="DD1" s="1111"/>
      <c r="DE1" s="1111"/>
      <c r="DF1" s="1111"/>
      <c r="DG1" s="1111"/>
      <c r="DH1" s="1111"/>
      <c r="DI1" s="1111"/>
      <c r="DJ1" s="1111"/>
      <c r="DK1" s="1111"/>
      <c r="DL1" s="1111"/>
      <c r="DM1" s="1111"/>
      <c r="DN1" s="1111"/>
      <c r="DO1" s="1111"/>
      <c r="DP1" s="1111"/>
      <c r="DQ1" s="1111"/>
      <c r="DR1" s="1111"/>
      <c r="DS1" s="1111"/>
      <c r="DT1" s="1111"/>
      <c r="DU1" s="1111"/>
      <c r="DV1" s="1111"/>
      <c r="DW1" s="1111"/>
      <c r="DX1" s="1111"/>
      <c r="DY1" s="1111"/>
      <c r="DZ1" s="1111"/>
      <c r="EA1" s="1111"/>
      <c r="EB1" s="1111"/>
      <c r="EC1" s="1111"/>
      <c r="ED1" s="1111"/>
      <c r="EE1" s="1111"/>
      <c r="EF1" s="1111"/>
      <c r="EG1" s="1111"/>
      <c r="EH1" s="1111"/>
      <c r="EI1" s="1111"/>
      <c r="EJ1" s="1111"/>
      <c r="EK1" s="1111"/>
      <c r="EL1" s="1111"/>
      <c r="EM1" s="1111"/>
      <c r="EN1" s="1111"/>
      <c r="EO1" s="1111"/>
      <c r="EP1" s="1111"/>
      <c r="EQ1" s="1111"/>
      <c r="ER1" s="1111"/>
      <c r="ES1" s="1111"/>
      <c r="ET1" s="1111"/>
      <c r="EU1" s="1111"/>
      <c r="EV1" s="1111"/>
      <c r="EW1" s="1111"/>
      <c r="EX1" s="1111"/>
      <c r="EY1" s="1111"/>
      <c r="EZ1" s="1111"/>
      <c r="FA1" s="1111"/>
      <c r="FB1" s="1111"/>
      <c r="FC1" s="1111"/>
      <c r="FD1" s="1111"/>
      <c r="FE1" s="1111"/>
      <c r="FF1" s="1111"/>
      <c r="FG1" s="1111"/>
      <c r="FH1" s="1111"/>
      <c r="FI1" s="1111"/>
      <c r="FJ1" s="1111"/>
      <c r="FK1" s="1111"/>
      <c r="FL1" s="1111"/>
      <c r="FM1" s="1111"/>
      <c r="FN1" s="1111"/>
      <c r="FO1" s="1111"/>
      <c r="FP1" s="1111"/>
      <c r="FQ1" s="1111"/>
      <c r="FR1" s="1111"/>
      <c r="FS1" s="1111"/>
      <c r="FT1" s="1111"/>
      <c r="FU1" s="1111"/>
      <c r="FV1" s="1111"/>
      <c r="FW1" s="1111"/>
      <c r="FX1" s="1111"/>
      <c r="FY1" s="1111"/>
      <c r="FZ1" s="1111"/>
      <c r="GA1" s="1111"/>
      <c r="GB1" s="1111"/>
      <c r="GC1" s="1111"/>
      <c r="GD1" s="1111"/>
      <c r="GE1" s="1111"/>
      <c r="GF1" s="1111"/>
      <c r="GG1" s="1111"/>
      <c r="GH1" s="1111"/>
      <c r="GI1" s="1111"/>
      <c r="GJ1" s="1111"/>
      <c r="GK1" s="1111"/>
      <c r="GL1" s="1111"/>
      <c r="GM1" s="1111"/>
      <c r="GN1" s="1111"/>
      <c r="GO1" s="1111"/>
      <c r="GP1" s="1111"/>
      <c r="GQ1" s="1111"/>
      <c r="GR1" s="1111"/>
      <c r="GS1" s="1111"/>
      <c r="GT1" s="1111"/>
      <c r="GU1" s="1111"/>
      <c r="GV1" s="1111"/>
      <c r="GW1" s="1111"/>
      <c r="GX1" s="1111"/>
      <c r="GY1" s="1111"/>
      <c r="GZ1" s="1111"/>
      <c r="HA1" s="1111"/>
      <c r="HB1" s="1111"/>
      <c r="HC1" s="1111"/>
      <c r="HD1" s="1111"/>
      <c r="HE1" s="1111"/>
      <c r="HF1" s="1111"/>
      <c r="HG1" s="1111"/>
      <c r="HH1" s="1111"/>
      <c r="HI1" s="1111"/>
      <c r="HJ1" s="1111"/>
      <c r="HK1" s="1111"/>
      <c r="HL1" s="1111"/>
      <c r="HM1" s="1111"/>
      <c r="HN1" s="1111"/>
      <c r="HO1" s="1111"/>
      <c r="HP1" s="1111"/>
      <c r="HQ1" s="1111"/>
      <c r="HR1" s="1111"/>
      <c r="HS1" s="1111"/>
      <c r="HT1" s="1111"/>
      <c r="HU1" s="1111"/>
      <c r="HV1" s="1111"/>
      <c r="HW1" s="1111"/>
      <c r="HX1" s="1111"/>
      <c r="HY1" s="1111"/>
      <c r="HZ1" s="1111"/>
      <c r="IA1" s="1111"/>
      <c r="IB1" s="1111"/>
      <c r="IC1" s="1111"/>
      <c r="ID1" s="1111"/>
      <c r="IE1" s="1111"/>
      <c r="IF1" s="1111"/>
      <c r="IG1" s="1111"/>
      <c r="IH1" s="1111"/>
      <c r="II1" s="1111"/>
      <c r="IJ1" s="1111"/>
      <c r="IK1" s="1111"/>
      <c r="IL1" s="1111"/>
      <c r="IM1" s="1111"/>
      <c r="IN1" s="1111"/>
      <c r="IO1" s="1111"/>
      <c r="IP1" s="1111"/>
      <c r="IQ1" s="1111"/>
      <c r="IR1" s="1111"/>
      <c r="IS1" s="1111"/>
      <c r="IT1" s="1111"/>
      <c r="IU1" s="1111"/>
      <c r="IV1" s="1111"/>
    </row>
    <row r="2" s="1082" customFormat="1" ht="15.95" customHeight="1" spans="1:256">
      <c r="A2" s="1089"/>
      <c r="B2" s="1089"/>
      <c r="C2" s="1089"/>
      <c r="D2" s="1089"/>
      <c r="E2" s="1089"/>
      <c r="F2" s="1089"/>
      <c r="G2" s="1089"/>
      <c r="H2" s="1089"/>
      <c r="I2" s="1112"/>
      <c r="J2" s="1112"/>
      <c r="K2" s="1112"/>
      <c r="L2" s="1112"/>
      <c r="M2" s="1112"/>
      <c r="N2" s="1112"/>
      <c r="O2" s="1112"/>
      <c r="P2" s="1112"/>
      <c r="Q2" s="1112"/>
      <c r="R2" s="1112"/>
      <c r="S2" s="1112"/>
      <c r="T2" s="1112"/>
      <c r="U2" s="1112"/>
      <c r="V2" s="1112"/>
      <c r="W2" s="1112"/>
      <c r="X2" s="1112"/>
      <c r="Y2" s="1112"/>
      <c r="Z2" s="1112"/>
      <c r="AA2" s="1112"/>
      <c r="AB2" s="1112"/>
      <c r="AC2" s="1112"/>
      <c r="AD2" s="1112"/>
      <c r="AE2" s="1112"/>
      <c r="AF2" s="1112"/>
      <c r="AG2" s="1112"/>
      <c r="AH2" s="1112"/>
      <c r="AI2" s="1112"/>
      <c r="AJ2" s="1112"/>
      <c r="AK2" s="1112"/>
      <c r="AL2" s="1112"/>
      <c r="AM2" s="1112"/>
      <c r="AN2" s="1112"/>
      <c r="AO2" s="1112"/>
      <c r="AP2" s="1112"/>
      <c r="AQ2" s="1112"/>
      <c r="AR2" s="1112"/>
      <c r="AS2" s="1112"/>
      <c r="AT2" s="1112"/>
      <c r="AU2" s="1112"/>
      <c r="AV2" s="1112"/>
      <c r="AW2" s="1112"/>
      <c r="AX2" s="1112"/>
      <c r="AY2" s="1112"/>
      <c r="AZ2" s="1112"/>
      <c r="BA2" s="1112"/>
      <c r="BB2" s="1112"/>
      <c r="BC2" s="1112"/>
      <c r="BD2" s="1112"/>
      <c r="BE2" s="1112"/>
      <c r="BF2" s="1112"/>
      <c r="BG2" s="1112"/>
      <c r="BH2" s="1112"/>
      <c r="BI2" s="1112"/>
      <c r="BJ2" s="1112"/>
      <c r="BK2" s="1112"/>
      <c r="BL2" s="1112"/>
      <c r="BM2" s="1112"/>
      <c r="BN2" s="1112"/>
      <c r="BO2" s="1112"/>
      <c r="BP2" s="1112"/>
      <c r="BQ2" s="1112"/>
      <c r="BR2" s="1112"/>
      <c r="BS2" s="1112"/>
      <c r="BT2" s="1112"/>
      <c r="BU2" s="1112"/>
      <c r="BV2" s="1112"/>
      <c r="BW2" s="1112"/>
      <c r="BX2" s="1112"/>
      <c r="BY2" s="1112"/>
      <c r="BZ2" s="1112"/>
      <c r="CA2" s="1112"/>
      <c r="CB2" s="1112"/>
      <c r="CC2" s="1112"/>
      <c r="CD2" s="1112"/>
      <c r="CE2" s="1112"/>
      <c r="CF2" s="1112"/>
      <c r="CG2" s="1112"/>
      <c r="CH2" s="1112"/>
      <c r="CI2" s="1112"/>
      <c r="CJ2" s="1112"/>
      <c r="CK2" s="1112"/>
      <c r="CL2" s="1112"/>
      <c r="CM2" s="1112"/>
      <c r="CN2" s="1112"/>
      <c r="CO2" s="1112"/>
      <c r="CP2" s="1112"/>
      <c r="CQ2" s="1112"/>
      <c r="CR2" s="1112"/>
      <c r="CS2" s="1112"/>
      <c r="CT2" s="1112"/>
      <c r="CU2" s="1112"/>
      <c r="CV2" s="1112"/>
      <c r="CW2" s="1112"/>
      <c r="CX2" s="1112"/>
      <c r="CY2" s="1112"/>
      <c r="CZ2" s="1112"/>
      <c r="DA2" s="1112"/>
      <c r="DB2" s="1112"/>
      <c r="DC2" s="1112"/>
      <c r="DD2" s="1112"/>
      <c r="DE2" s="1112"/>
      <c r="DF2" s="1112"/>
      <c r="DG2" s="1112"/>
      <c r="DH2" s="1112"/>
      <c r="DI2" s="1112"/>
      <c r="DJ2" s="1112"/>
      <c r="DK2" s="1112"/>
      <c r="DL2" s="1112"/>
      <c r="DM2" s="1112"/>
      <c r="DN2" s="1112"/>
      <c r="DO2" s="1112"/>
      <c r="DP2" s="1112"/>
      <c r="DQ2" s="1112"/>
      <c r="DR2" s="1112"/>
      <c r="DS2" s="1112"/>
      <c r="DT2" s="1112"/>
      <c r="DU2" s="1112"/>
      <c r="DV2" s="1112"/>
      <c r="DW2" s="1112"/>
      <c r="DX2" s="1112"/>
      <c r="DY2" s="1112"/>
      <c r="DZ2" s="1112"/>
      <c r="EA2" s="1112"/>
      <c r="EB2" s="1112"/>
      <c r="EC2" s="1112"/>
      <c r="ED2" s="1112"/>
      <c r="EE2" s="1112"/>
      <c r="EF2" s="1112"/>
      <c r="EG2" s="1112"/>
      <c r="EH2" s="1112"/>
      <c r="EI2" s="1112"/>
      <c r="EJ2" s="1112"/>
      <c r="EK2" s="1112"/>
      <c r="EL2" s="1112"/>
      <c r="EM2" s="1112"/>
      <c r="EN2" s="1112"/>
      <c r="EO2" s="1112"/>
      <c r="EP2" s="1112"/>
      <c r="EQ2" s="1112"/>
      <c r="ER2" s="1112"/>
      <c r="ES2" s="1112"/>
      <c r="ET2" s="1112"/>
      <c r="EU2" s="1112"/>
      <c r="EV2" s="1112"/>
      <c r="EW2" s="1112"/>
      <c r="EX2" s="1112"/>
      <c r="EY2" s="1112"/>
      <c r="EZ2" s="1112"/>
      <c r="FA2" s="1112"/>
      <c r="FB2" s="1112"/>
      <c r="FC2" s="1112"/>
      <c r="FD2" s="1112"/>
      <c r="FE2" s="1112"/>
      <c r="FF2" s="1112"/>
      <c r="FG2" s="1112"/>
      <c r="FH2" s="1112"/>
      <c r="FI2" s="1112"/>
      <c r="FJ2" s="1112"/>
      <c r="FK2" s="1112"/>
      <c r="FL2" s="1112"/>
      <c r="FM2" s="1112"/>
      <c r="FN2" s="1112"/>
      <c r="FO2" s="1112"/>
      <c r="FP2" s="1112"/>
      <c r="FQ2" s="1112"/>
      <c r="FR2" s="1112"/>
      <c r="FS2" s="1112"/>
      <c r="FT2" s="1112"/>
      <c r="FU2" s="1112"/>
      <c r="FV2" s="1112"/>
      <c r="FW2" s="1112"/>
      <c r="FX2" s="1112"/>
      <c r="FY2" s="1112"/>
      <c r="FZ2" s="1112"/>
      <c r="GA2" s="1112"/>
      <c r="GB2" s="1112"/>
      <c r="GC2" s="1112"/>
      <c r="GD2" s="1112"/>
      <c r="GE2" s="1112"/>
      <c r="GF2" s="1112"/>
      <c r="GG2" s="1112"/>
      <c r="GH2" s="1112"/>
      <c r="GI2" s="1112"/>
      <c r="GJ2" s="1112"/>
      <c r="GK2" s="1112"/>
      <c r="GL2" s="1112"/>
      <c r="GM2" s="1112"/>
      <c r="GN2" s="1112"/>
      <c r="GO2" s="1112"/>
      <c r="GP2" s="1112"/>
      <c r="GQ2" s="1112"/>
      <c r="GR2" s="1112"/>
      <c r="GS2" s="1112"/>
      <c r="GT2" s="1112"/>
      <c r="GU2" s="1112"/>
      <c r="GV2" s="1112"/>
      <c r="GW2" s="1112"/>
      <c r="GX2" s="1112"/>
      <c r="GY2" s="1112"/>
      <c r="GZ2" s="1112"/>
      <c r="HA2" s="1112"/>
      <c r="HB2" s="1112"/>
      <c r="HC2" s="1112"/>
      <c r="HD2" s="1112"/>
      <c r="HE2" s="1112"/>
      <c r="HF2" s="1112"/>
      <c r="HG2" s="1112"/>
      <c r="HH2" s="1112"/>
      <c r="HI2" s="1112"/>
      <c r="HJ2" s="1112"/>
      <c r="HK2" s="1112"/>
      <c r="HL2" s="1112"/>
      <c r="HM2" s="1112"/>
      <c r="HN2" s="1112"/>
      <c r="HO2" s="1112"/>
      <c r="HP2" s="1112"/>
      <c r="HQ2" s="1112"/>
      <c r="HR2" s="1112"/>
      <c r="HS2" s="1112"/>
      <c r="HT2" s="1112"/>
      <c r="HU2" s="1112"/>
      <c r="HV2" s="1112"/>
      <c r="HW2" s="1112"/>
      <c r="HX2" s="1112"/>
      <c r="HY2" s="1112"/>
      <c r="HZ2" s="1112"/>
      <c r="IA2" s="1112"/>
      <c r="IB2" s="1112"/>
      <c r="IC2" s="1112"/>
      <c r="ID2" s="1112"/>
      <c r="IE2" s="1112"/>
      <c r="IF2" s="1112"/>
      <c r="IG2" s="1112"/>
      <c r="IH2" s="1112"/>
      <c r="II2" s="1112"/>
      <c r="IJ2" s="1112"/>
      <c r="IK2" s="1112"/>
      <c r="IL2" s="1112"/>
      <c r="IM2" s="1112"/>
      <c r="IN2" s="1112"/>
      <c r="IO2" s="1112"/>
      <c r="IP2" s="1112"/>
      <c r="IQ2" s="1112"/>
      <c r="IR2" s="1112"/>
      <c r="IS2" s="1112"/>
      <c r="IT2" s="1112"/>
      <c r="IU2" s="1112"/>
      <c r="IV2" s="1112"/>
    </row>
    <row r="3" s="1083" customFormat="1" ht="17.1" customHeight="1" spans="1:256">
      <c r="A3" s="1090"/>
      <c r="B3" s="1090"/>
      <c r="C3" s="1091"/>
      <c r="D3" s="1091" t="str">
        <f>资产负债表!C3</f>
        <v>年    月    日</v>
      </c>
      <c r="E3" s="1091"/>
      <c r="F3" s="1090"/>
      <c r="G3" s="1092"/>
      <c r="H3" s="1093"/>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1111"/>
      <c r="AZ3" s="1111"/>
      <c r="BA3" s="1111"/>
      <c r="BB3" s="1111"/>
      <c r="BC3" s="1111"/>
      <c r="BD3" s="1111"/>
      <c r="BE3" s="1111"/>
      <c r="BF3" s="1111"/>
      <c r="BG3" s="1111"/>
      <c r="BH3" s="1111"/>
      <c r="BI3" s="1111"/>
      <c r="BJ3" s="1111"/>
      <c r="BK3" s="1111"/>
      <c r="BL3" s="1111"/>
      <c r="BM3" s="1111"/>
      <c r="BN3" s="1111"/>
      <c r="BO3" s="1111"/>
      <c r="BP3" s="1111"/>
      <c r="BQ3" s="1111"/>
      <c r="BR3" s="1111"/>
      <c r="BS3" s="1111"/>
      <c r="BT3" s="1111"/>
      <c r="BU3" s="1111"/>
      <c r="BV3" s="1111"/>
      <c r="BW3" s="1111"/>
      <c r="BX3" s="1111"/>
      <c r="BY3" s="1111"/>
      <c r="BZ3" s="1111"/>
      <c r="CA3" s="1111"/>
      <c r="CB3" s="1111"/>
      <c r="CC3" s="1111"/>
      <c r="CD3" s="1111"/>
      <c r="CE3" s="1111"/>
      <c r="CF3" s="1111"/>
      <c r="CG3" s="1111"/>
      <c r="CH3" s="1111"/>
      <c r="CI3" s="1111"/>
      <c r="CJ3" s="1111"/>
      <c r="CK3" s="1111"/>
      <c r="CL3" s="1111"/>
      <c r="CM3" s="1111"/>
      <c r="CN3" s="1111"/>
      <c r="CO3" s="1111"/>
      <c r="CP3" s="1111"/>
      <c r="CQ3" s="1111"/>
      <c r="CR3" s="1111"/>
      <c r="CS3" s="1111"/>
      <c r="CT3" s="1111"/>
      <c r="CU3" s="1111"/>
      <c r="CV3" s="1111"/>
      <c r="CW3" s="1111"/>
      <c r="CX3" s="1111"/>
      <c r="CY3" s="1111"/>
      <c r="CZ3" s="1111"/>
      <c r="DA3" s="1111"/>
      <c r="DB3" s="1111"/>
      <c r="DC3" s="1111"/>
      <c r="DD3" s="1111"/>
      <c r="DE3" s="1111"/>
      <c r="DF3" s="1111"/>
      <c r="DG3" s="1111"/>
      <c r="DH3" s="1111"/>
      <c r="DI3" s="1111"/>
      <c r="DJ3" s="1111"/>
      <c r="DK3" s="1111"/>
      <c r="DL3" s="1111"/>
      <c r="DM3" s="1111"/>
      <c r="DN3" s="1111"/>
      <c r="DO3" s="1111"/>
      <c r="DP3" s="1111"/>
      <c r="DQ3" s="1111"/>
      <c r="DR3" s="1111"/>
      <c r="DS3" s="1111"/>
      <c r="DT3" s="1111"/>
      <c r="DU3" s="1111"/>
      <c r="DV3" s="1111"/>
      <c r="DW3" s="1111"/>
      <c r="DX3" s="1111"/>
      <c r="DY3" s="1111"/>
      <c r="DZ3" s="1111"/>
      <c r="EA3" s="1111"/>
      <c r="EB3" s="1111"/>
      <c r="EC3" s="1111"/>
      <c r="ED3" s="1111"/>
      <c r="EE3" s="1111"/>
      <c r="EF3" s="1111"/>
      <c r="EG3" s="1111"/>
      <c r="EH3" s="1111"/>
      <c r="EI3" s="1111"/>
      <c r="EJ3" s="1111"/>
      <c r="EK3" s="1111"/>
      <c r="EL3" s="1111"/>
      <c r="EM3" s="1111"/>
      <c r="EN3" s="1111"/>
      <c r="EO3" s="1111"/>
      <c r="EP3" s="1111"/>
      <c r="EQ3" s="1111"/>
      <c r="ER3" s="1111"/>
      <c r="ES3" s="1111"/>
      <c r="ET3" s="1111"/>
      <c r="EU3" s="1111"/>
      <c r="EV3" s="1111"/>
      <c r="EW3" s="1111"/>
      <c r="EX3" s="1111"/>
      <c r="EY3" s="1111"/>
      <c r="EZ3" s="1111"/>
      <c r="FA3" s="1111"/>
      <c r="FB3" s="1111"/>
      <c r="FC3" s="1111"/>
      <c r="FD3" s="1111"/>
      <c r="FE3" s="1111"/>
      <c r="FF3" s="1111"/>
      <c r="FG3" s="1111"/>
      <c r="FH3" s="1111"/>
      <c r="FI3" s="1111"/>
      <c r="FJ3" s="1111"/>
      <c r="FK3" s="1111"/>
      <c r="FL3" s="1111"/>
      <c r="FM3" s="1111"/>
      <c r="FN3" s="1111"/>
      <c r="FO3" s="1111"/>
      <c r="FP3" s="1111"/>
      <c r="FQ3" s="1111"/>
      <c r="FR3" s="1111"/>
      <c r="FS3" s="1111"/>
      <c r="FT3" s="1111"/>
      <c r="FU3" s="1111"/>
      <c r="FV3" s="1111"/>
      <c r="FW3" s="1111"/>
      <c r="FX3" s="1111"/>
      <c r="FY3" s="1111"/>
      <c r="FZ3" s="1111"/>
      <c r="GA3" s="1111"/>
      <c r="GB3" s="1111"/>
      <c r="GC3" s="1111"/>
      <c r="GD3" s="1111"/>
      <c r="GE3" s="1111"/>
      <c r="GF3" s="1111"/>
      <c r="GG3" s="1111"/>
      <c r="GH3" s="1111"/>
      <c r="GI3" s="1111"/>
      <c r="GJ3" s="1111"/>
      <c r="GK3" s="1111"/>
      <c r="GL3" s="1111"/>
      <c r="GM3" s="1111"/>
      <c r="GN3" s="1111"/>
      <c r="GO3" s="1111"/>
      <c r="GP3" s="1111"/>
      <c r="GQ3" s="1111"/>
      <c r="GR3" s="1111"/>
      <c r="GS3" s="1111"/>
      <c r="GT3" s="1111"/>
      <c r="GU3" s="1111"/>
      <c r="GV3" s="1111"/>
      <c r="GW3" s="1111"/>
      <c r="GX3" s="1111"/>
      <c r="GY3" s="1111"/>
      <c r="GZ3" s="1111"/>
      <c r="HA3" s="1111"/>
      <c r="HB3" s="1111"/>
      <c r="HC3" s="1111"/>
      <c r="HD3" s="1111"/>
      <c r="HE3" s="1111"/>
      <c r="HF3" s="1111"/>
      <c r="HG3" s="1111"/>
      <c r="HH3" s="1111"/>
      <c r="HI3" s="1111"/>
      <c r="HJ3" s="1111"/>
      <c r="HK3" s="1111"/>
      <c r="HL3" s="1111"/>
      <c r="HM3" s="1111"/>
      <c r="HN3" s="1111"/>
      <c r="HO3" s="1111"/>
      <c r="HP3" s="1111"/>
      <c r="HQ3" s="1111"/>
      <c r="HR3" s="1111"/>
      <c r="HS3" s="1111"/>
      <c r="HT3" s="1111"/>
      <c r="HU3" s="1111"/>
      <c r="HV3" s="1111"/>
      <c r="HW3" s="1111"/>
      <c r="HX3" s="1111"/>
      <c r="HY3" s="1111"/>
      <c r="HZ3" s="1111"/>
      <c r="IA3" s="1111"/>
      <c r="IB3" s="1111"/>
      <c r="IC3" s="1111"/>
      <c r="ID3" s="1111"/>
      <c r="IE3" s="1111"/>
      <c r="IF3" s="1111"/>
      <c r="IG3" s="1111"/>
      <c r="IH3" s="1111"/>
      <c r="II3" s="1111"/>
      <c r="IJ3" s="1111"/>
      <c r="IK3" s="1111"/>
      <c r="IL3" s="1111"/>
      <c r="IM3" s="1111"/>
      <c r="IN3" s="1111"/>
      <c r="IO3" s="1111"/>
      <c r="IP3" s="1111"/>
      <c r="IQ3" s="1111"/>
      <c r="IR3" s="1111"/>
      <c r="IS3" s="1111"/>
      <c r="IT3" s="1111"/>
      <c r="IU3" s="1111"/>
      <c r="IV3" s="1111"/>
    </row>
    <row r="4" s="1084" customFormat="1" ht="20.1" customHeight="1" spans="1:256">
      <c r="A4" s="1094" t="s">
        <v>93</v>
      </c>
      <c r="B4" s="1094" t="s">
        <v>163</v>
      </c>
      <c r="C4" s="1094" t="s">
        <v>164</v>
      </c>
      <c r="D4" s="1094" t="s">
        <v>165</v>
      </c>
      <c r="E4" s="1094" t="s">
        <v>96</v>
      </c>
      <c r="F4" s="1095" t="s">
        <v>163</v>
      </c>
      <c r="G4" s="1094" t="s">
        <v>164</v>
      </c>
      <c r="H4" s="1094" t="s">
        <v>165</v>
      </c>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1113"/>
      <c r="AZ4" s="1113"/>
      <c r="BA4" s="1113"/>
      <c r="BB4" s="1113"/>
      <c r="BC4" s="1113"/>
      <c r="BD4" s="1113"/>
      <c r="BE4" s="1113"/>
      <c r="BF4" s="1113"/>
      <c r="BG4" s="1113"/>
      <c r="BH4" s="1113"/>
      <c r="BI4" s="1113"/>
      <c r="BJ4" s="1113"/>
      <c r="BK4" s="1113"/>
      <c r="BL4" s="1113"/>
      <c r="BM4" s="1113"/>
      <c r="BN4" s="1113"/>
      <c r="BO4" s="1113"/>
      <c r="BP4" s="1113"/>
      <c r="BQ4" s="1113"/>
      <c r="BR4" s="1113"/>
      <c r="BS4" s="1113"/>
      <c r="BT4" s="1113"/>
      <c r="BU4" s="1113"/>
      <c r="BV4" s="1113"/>
      <c r="BW4" s="1113"/>
      <c r="BX4" s="1113"/>
      <c r="BY4" s="1113"/>
      <c r="BZ4" s="1113"/>
      <c r="CA4" s="1113"/>
      <c r="CB4" s="1113"/>
      <c r="CC4" s="1113"/>
      <c r="CD4" s="1113"/>
      <c r="CE4" s="1113"/>
      <c r="CF4" s="1113"/>
      <c r="CG4" s="1113"/>
      <c r="CH4" s="1113"/>
      <c r="CI4" s="1113"/>
      <c r="CJ4" s="1113"/>
      <c r="CK4" s="1113"/>
      <c r="CL4" s="1113"/>
      <c r="CM4" s="1113"/>
      <c r="CN4" s="1113"/>
      <c r="CO4" s="1113"/>
      <c r="CP4" s="1113"/>
      <c r="CQ4" s="1113"/>
      <c r="CR4" s="1113"/>
      <c r="CS4" s="1113"/>
      <c r="CT4" s="1113"/>
      <c r="CU4" s="1113"/>
      <c r="CV4" s="1113"/>
      <c r="CW4" s="1113"/>
      <c r="CX4" s="1113"/>
      <c r="CY4" s="1113"/>
      <c r="CZ4" s="1113"/>
      <c r="DA4" s="1113"/>
      <c r="DB4" s="1113"/>
      <c r="DC4" s="1113"/>
      <c r="DD4" s="1113"/>
      <c r="DE4" s="1113"/>
      <c r="DF4" s="1113"/>
      <c r="DG4" s="1113"/>
      <c r="DH4" s="1113"/>
      <c r="DI4" s="1113"/>
      <c r="DJ4" s="1113"/>
      <c r="DK4" s="1113"/>
      <c r="DL4" s="1113"/>
      <c r="DM4" s="1113"/>
      <c r="DN4" s="1113"/>
      <c r="DO4" s="1113"/>
      <c r="DP4" s="1113"/>
      <c r="DQ4" s="1113"/>
      <c r="DR4" s="1113"/>
      <c r="DS4" s="1113"/>
      <c r="DT4" s="1113"/>
      <c r="DU4" s="1113"/>
      <c r="DV4" s="1113"/>
      <c r="DW4" s="1113"/>
      <c r="DX4" s="1113"/>
      <c r="DY4" s="1113"/>
      <c r="DZ4" s="1113"/>
      <c r="EA4" s="1113"/>
      <c r="EB4" s="1113"/>
      <c r="EC4" s="1113"/>
      <c r="ED4" s="1113"/>
      <c r="EE4" s="1113"/>
      <c r="EF4" s="1113"/>
      <c r="EG4" s="1113"/>
      <c r="EH4" s="1113"/>
      <c r="EI4" s="1113"/>
      <c r="EJ4" s="1113"/>
      <c r="EK4" s="1113"/>
      <c r="EL4" s="1113"/>
      <c r="EM4" s="1113"/>
      <c r="EN4" s="1113"/>
      <c r="EO4" s="1113"/>
      <c r="EP4" s="1113"/>
      <c r="EQ4" s="1113"/>
      <c r="ER4" s="1113"/>
      <c r="ES4" s="1113"/>
      <c r="ET4" s="1113"/>
      <c r="EU4" s="1113"/>
      <c r="EV4" s="1113"/>
      <c r="EW4" s="1113"/>
      <c r="EX4" s="1113"/>
      <c r="EY4" s="1113"/>
      <c r="EZ4" s="1113"/>
      <c r="FA4" s="1113"/>
      <c r="FB4" s="1113"/>
      <c r="FC4" s="1113"/>
      <c r="FD4" s="1113"/>
      <c r="FE4" s="1113"/>
      <c r="FF4" s="1113"/>
      <c r="FG4" s="1113"/>
      <c r="FH4" s="1113"/>
      <c r="FI4" s="1113"/>
      <c r="FJ4" s="1113"/>
      <c r="FK4" s="1113"/>
      <c r="FL4" s="1113"/>
      <c r="FM4" s="1113"/>
      <c r="FN4" s="1113"/>
      <c r="FO4" s="1113"/>
      <c r="FP4" s="1113"/>
      <c r="FQ4" s="1113"/>
      <c r="FR4" s="1113"/>
      <c r="FS4" s="1113"/>
      <c r="FT4" s="1113"/>
      <c r="FU4" s="1113"/>
      <c r="FV4" s="1113"/>
      <c r="FW4" s="1113"/>
      <c r="FX4" s="1113"/>
      <c r="FY4" s="1113"/>
      <c r="FZ4" s="1113"/>
      <c r="GA4" s="1113"/>
      <c r="GB4" s="1113"/>
      <c r="GC4" s="1113"/>
      <c r="GD4" s="1113"/>
      <c r="GE4" s="1113"/>
      <c r="GF4" s="1113"/>
      <c r="GG4" s="1113"/>
      <c r="GH4" s="1113"/>
      <c r="GI4" s="1113"/>
      <c r="GJ4" s="1113"/>
      <c r="GK4" s="1113"/>
      <c r="GL4" s="1113"/>
      <c r="GM4" s="1113"/>
      <c r="GN4" s="1113"/>
      <c r="GO4" s="1113"/>
      <c r="GP4" s="1113"/>
      <c r="GQ4" s="1113"/>
      <c r="GR4" s="1113"/>
      <c r="GS4" s="1113"/>
      <c r="GT4" s="1113"/>
      <c r="GU4" s="1113"/>
      <c r="GV4" s="1113"/>
      <c r="GW4" s="1113"/>
      <c r="GX4" s="1113"/>
      <c r="GY4" s="1113"/>
      <c r="GZ4" s="1113"/>
      <c r="HA4" s="1113"/>
      <c r="HB4" s="1113"/>
      <c r="HC4" s="1113"/>
      <c r="HD4" s="1113"/>
      <c r="HE4" s="1113"/>
      <c r="HF4" s="1113"/>
      <c r="HG4" s="1113"/>
      <c r="HH4" s="1113"/>
      <c r="HI4" s="1113"/>
      <c r="HJ4" s="1113"/>
      <c r="HK4" s="1113"/>
      <c r="HL4" s="1113"/>
      <c r="HM4" s="1113"/>
      <c r="HN4" s="1113"/>
      <c r="HO4" s="1113"/>
      <c r="HP4" s="1113"/>
      <c r="HQ4" s="1113"/>
      <c r="HR4" s="1113"/>
      <c r="HS4" s="1113"/>
      <c r="HT4" s="1113"/>
      <c r="HU4" s="1113"/>
      <c r="HV4" s="1113"/>
      <c r="HW4" s="1113"/>
      <c r="HX4" s="1113"/>
      <c r="HY4" s="1113"/>
      <c r="HZ4" s="1113"/>
      <c r="IA4" s="1113"/>
      <c r="IB4" s="1113"/>
      <c r="IC4" s="1113"/>
      <c r="ID4" s="1113"/>
      <c r="IE4" s="1113"/>
      <c r="IF4" s="1113"/>
      <c r="IG4" s="1113"/>
      <c r="IH4" s="1113"/>
      <c r="II4" s="1113"/>
      <c r="IJ4" s="1113"/>
      <c r="IK4" s="1113"/>
      <c r="IL4" s="1113"/>
      <c r="IM4" s="1113"/>
      <c r="IN4" s="1113"/>
      <c r="IO4" s="1113"/>
      <c r="IP4" s="1113"/>
      <c r="IQ4" s="1113"/>
      <c r="IR4" s="1113"/>
      <c r="IS4" s="1113"/>
      <c r="IT4" s="1113"/>
      <c r="IU4" s="1113"/>
      <c r="IV4" s="1113"/>
    </row>
    <row r="5" s="1083" customFormat="1" ht="18.6" customHeight="1" spans="1:256">
      <c r="A5" s="1096" t="s">
        <v>97</v>
      </c>
      <c r="B5" s="1096"/>
      <c r="C5" s="1096"/>
      <c r="D5" s="1096"/>
      <c r="E5" s="1096" t="s">
        <v>98</v>
      </c>
      <c r="F5" s="1097"/>
      <c r="G5" s="1096"/>
      <c r="H5" s="1096"/>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1"/>
      <c r="AK5" s="1111"/>
      <c r="AL5" s="1111"/>
      <c r="AM5" s="1111"/>
      <c r="AN5" s="1111"/>
      <c r="AO5" s="1111"/>
      <c r="AP5" s="1111"/>
      <c r="AQ5" s="1111"/>
      <c r="AR5" s="1111"/>
      <c r="AS5" s="1111"/>
      <c r="AT5" s="1111"/>
      <c r="AU5" s="1111"/>
      <c r="AV5" s="1111"/>
      <c r="AW5" s="1111"/>
      <c r="AX5" s="1111"/>
      <c r="AY5" s="1111"/>
      <c r="AZ5" s="1111"/>
      <c r="BA5" s="1111"/>
      <c r="BB5" s="1111"/>
      <c r="BC5" s="1111"/>
      <c r="BD5" s="1111"/>
      <c r="BE5" s="1111"/>
      <c r="BF5" s="1111"/>
      <c r="BG5" s="1111"/>
      <c r="BH5" s="1111"/>
      <c r="BI5" s="1111"/>
      <c r="BJ5" s="1111"/>
      <c r="BK5" s="1111"/>
      <c r="BL5" s="1111"/>
      <c r="BM5" s="1111"/>
      <c r="BN5" s="1111"/>
      <c r="BO5" s="1111"/>
      <c r="BP5" s="1111"/>
      <c r="BQ5" s="1111"/>
      <c r="BR5" s="1111"/>
      <c r="BS5" s="1111"/>
      <c r="BT5" s="1111"/>
      <c r="BU5" s="1111"/>
      <c r="BV5" s="1111"/>
      <c r="BW5" s="1111"/>
      <c r="BX5" s="1111"/>
      <c r="BY5" s="1111"/>
      <c r="BZ5" s="1111"/>
      <c r="CA5" s="1111"/>
      <c r="CB5" s="1111"/>
      <c r="CC5" s="1111"/>
      <c r="CD5" s="1111"/>
      <c r="CE5" s="1111"/>
      <c r="CF5" s="1111"/>
      <c r="CG5" s="1111"/>
      <c r="CH5" s="1111"/>
      <c r="CI5" s="1111"/>
      <c r="CJ5" s="1111"/>
      <c r="CK5" s="1111"/>
      <c r="CL5" s="1111"/>
      <c r="CM5" s="1111"/>
      <c r="CN5" s="1111"/>
      <c r="CO5" s="1111"/>
      <c r="CP5" s="1111"/>
      <c r="CQ5" s="1111"/>
      <c r="CR5" s="1111"/>
      <c r="CS5" s="1111"/>
      <c r="CT5" s="1111"/>
      <c r="CU5" s="1111"/>
      <c r="CV5" s="1111"/>
      <c r="CW5" s="1111"/>
      <c r="CX5" s="1111"/>
      <c r="CY5" s="1111"/>
      <c r="CZ5" s="1111"/>
      <c r="DA5" s="1111"/>
      <c r="DB5" s="1111"/>
      <c r="DC5" s="1111"/>
      <c r="DD5" s="1111"/>
      <c r="DE5" s="1111"/>
      <c r="DF5" s="1111"/>
      <c r="DG5" s="1111"/>
      <c r="DH5" s="1111"/>
      <c r="DI5" s="1111"/>
      <c r="DJ5" s="1111"/>
      <c r="DK5" s="1111"/>
      <c r="DL5" s="1111"/>
      <c r="DM5" s="1111"/>
      <c r="DN5" s="1111"/>
      <c r="DO5" s="1111"/>
      <c r="DP5" s="1111"/>
      <c r="DQ5" s="1111"/>
      <c r="DR5" s="1111"/>
      <c r="DS5" s="1111"/>
      <c r="DT5" s="1111"/>
      <c r="DU5" s="1111"/>
      <c r="DV5" s="1111"/>
      <c r="DW5" s="1111"/>
      <c r="DX5" s="1111"/>
      <c r="DY5" s="1111"/>
      <c r="DZ5" s="1111"/>
      <c r="EA5" s="1111"/>
      <c r="EB5" s="1111"/>
      <c r="EC5" s="1111"/>
      <c r="ED5" s="1111"/>
      <c r="EE5" s="1111"/>
      <c r="EF5" s="1111"/>
      <c r="EG5" s="1111"/>
      <c r="EH5" s="1111"/>
      <c r="EI5" s="1111"/>
      <c r="EJ5" s="1111"/>
      <c r="EK5" s="1111"/>
      <c r="EL5" s="1111"/>
      <c r="EM5" s="1111"/>
      <c r="EN5" s="1111"/>
      <c r="EO5" s="1111"/>
      <c r="EP5" s="1111"/>
      <c r="EQ5" s="1111"/>
      <c r="ER5" s="1111"/>
      <c r="ES5" s="1111"/>
      <c r="ET5" s="1111"/>
      <c r="EU5" s="1111"/>
      <c r="EV5" s="1111"/>
      <c r="EW5" s="1111"/>
      <c r="EX5" s="1111"/>
      <c r="EY5" s="1111"/>
      <c r="EZ5" s="1111"/>
      <c r="FA5" s="1111"/>
      <c r="FB5" s="1111"/>
      <c r="FC5" s="1111"/>
      <c r="FD5" s="1111"/>
      <c r="FE5" s="1111"/>
      <c r="FF5" s="1111"/>
      <c r="FG5" s="1111"/>
      <c r="FH5" s="1111"/>
      <c r="FI5" s="1111"/>
      <c r="FJ5" s="1111"/>
      <c r="FK5" s="1111"/>
      <c r="FL5" s="1111"/>
      <c r="FM5" s="1111"/>
      <c r="FN5" s="1111"/>
      <c r="FO5" s="1111"/>
      <c r="FP5" s="1111"/>
      <c r="FQ5" s="1111"/>
      <c r="FR5" s="1111"/>
      <c r="FS5" s="1111"/>
      <c r="FT5" s="1111"/>
      <c r="FU5" s="1111"/>
      <c r="FV5" s="1111"/>
      <c r="FW5" s="1111"/>
      <c r="FX5" s="1111"/>
      <c r="FY5" s="1111"/>
      <c r="FZ5" s="1111"/>
      <c r="GA5" s="1111"/>
      <c r="GB5" s="1111"/>
      <c r="GC5" s="1111"/>
      <c r="GD5" s="1111"/>
      <c r="GE5" s="1111"/>
      <c r="GF5" s="1111"/>
      <c r="GG5" s="1111"/>
      <c r="GH5" s="1111"/>
      <c r="GI5" s="1111"/>
      <c r="GJ5" s="1111"/>
      <c r="GK5" s="1111"/>
      <c r="GL5" s="1111"/>
      <c r="GM5" s="1111"/>
      <c r="GN5" s="1111"/>
      <c r="GO5" s="1111"/>
      <c r="GP5" s="1111"/>
      <c r="GQ5" s="1111"/>
      <c r="GR5" s="1111"/>
      <c r="GS5" s="1111"/>
      <c r="GT5" s="1111"/>
      <c r="GU5" s="1111"/>
      <c r="GV5" s="1111"/>
      <c r="GW5" s="1111"/>
      <c r="GX5" s="1111"/>
      <c r="GY5" s="1111"/>
      <c r="GZ5" s="1111"/>
      <c r="HA5" s="1111"/>
      <c r="HB5" s="1111"/>
      <c r="HC5" s="1111"/>
      <c r="HD5" s="1111"/>
      <c r="HE5" s="1111"/>
      <c r="HF5" s="1111"/>
      <c r="HG5" s="1111"/>
      <c r="HH5" s="1111"/>
      <c r="HI5" s="1111"/>
      <c r="HJ5" s="1111"/>
      <c r="HK5" s="1111"/>
      <c r="HL5" s="1111"/>
      <c r="HM5" s="1111"/>
      <c r="HN5" s="1111"/>
      <c r="HO5" s="1111"/>
      <c r="HP5" s="1111"/>
      <c r="HQ5" s="1111"/>
      <c r="HR5" s="1111"/>
      <c r="HS5" s="1111"/>
      <c r="HT5" s="1111"/>
      <c r="HU5" s="1111"/>
      <c r="HV5" s="1111"/>
      <c r="HW5" s="1111"/>
      <c r="HX5" s="1111"/>
      <c r="HY5" s="1111"/>
      <c r="HZ5" s="1111"/>
      <c r="IA5" s="1111"/>
      <c r="IB5" s="1111"/>
      <c r="IC5" s="1111"/>
      <c r="ID5" s="1111"/>
      <c r="IE5" s="1111"/>
      <c r="IF5" s="1111"/>
      <c r="IG5" s="1111"/>
      <c r="IH5" s="1111"/>
      <c r="II5" s="1111"/>
      <c r="IJ5" s="1111"/>
      <c r="IK5" s="1111"/>
      <c r="IL5" s="1111"/>
      <c r="IM5" s="1111"/>
      <c r="IN5" s="1111"/>
      <c r="IO5" s="1111"/>
      <c r="IP5" s="1111"/>
      <c r="IQ5" s="1111"/>
      <c r="IR5" s="1111"/>
      <c r="IS5" s="1111"/>
      <c r="IT5" s="1111"/>
      <c r="IU5" s="1111"/>
      <c r="IV5" s="1111"/>
    </row>
    <row r="6" s="1083" customFormat="1" ht="18.6" customHeight="1" spans="1:256">
      <c r="A6" s="1098" t="s">
        <v>99</v>
      </c>
      <c r="B6" s="1099">
        <f>资产负债表!B6/资产负债表!B37</f>
        <v>0.00620332032073847</v>
      </c>
      <c r="C6" s="1099">
        <f>资产负债表!C6/资产负债表!C37</f>
        <v>0.00584284675284662</v>
      </c>
      <c r="D6" s="1099">
        <f t="shared" ref="D6:D17" si="0">B6-C6</f>
        <v>0.000360473567891846</v>
      </c>
      <c r="E6" s="1098" t="s">
        <v>100</v>
      </c>
      <c r="F6" s="1100">
        <f>资产负债表!E6/资产负债表!E37</f>
        <v>0.0125074301565286</v>
      </c>
      <c r="G6" s="1099">
        <f>资产负债表!F6/资产负债表!F37</f>
        <v>0.0768928222523901</v>
      </c>
      <c r="H6" s="1101">
        <f t="shared" ref="H6:H18" si="1">F6-G6</f>
        <v>-0.0643853920958615</v>
      </c>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1"/>
      <c r="AK6" s="1111"/>
      <c r="AL6" s="1111"/>
      <c r="AM6" s="1111"/>
      <c r="AN6" s="1111"/>
      <c r="AO6" s="1111"/>
      <c r="AP6" s="1111"/>
      <c r="AQ6" s="1111"/>
      <c r="AR6" s="1111"/>
      <c r="AS6" s="1111"/>
      <c r="AT6" s="1111"/>
      <c r="AU6" s="1111"/>
      <c r="AV6" s="1111"/>
      <c r="AW6" s="1111"/>
      <c r="AX6" s="1111"/>
      <c r="AY6" s="1111"/>
      <c r="AZ6" s="1111"/>
      <c r="BA6" s="1111"/>
      <c r="BB6" s="1111"/>
      <c r="BC6" s="1111"/>
      <c r="BD6" s="1111"/>
      <c r="BE6" s="1111"/>
      <c r="BF6" s="1111"/>
      <c r="BG6" s="1111"/>
      <c r="BH6" s="1111"/>
      <c r="BI6" s="1111"/>
      <c r="BJ6" s="1111"/>
      <c r="BK6" s="1111"/>
      <c r="BL6" s="1111"/>
      <c r="BM6" s="1111"/>
      <c r="BN6" s="1111"/>
      <c r="BO6" s="1111"/>
      <c r="BP6" s="1111"/>
      <c r="BQ6" s="1111"/>
      <c r="BR6" s="1111"/>
      <c r="BS6" s="1111"/>
      <c r="BT6" s="1111"/>
      <c r="BU6" s="1111"/>
      <c r="BV6" s="1111"/>
      <c r="BW6" s="1111"/>
      <c r="BX6" s="1111"/>
      <c r="BY6" s="1111"/>
      <c r="BZ6" s="1111"/>
      <c r="CA6" s="1111"/>
      <c r="CB6" s="1111"/>
      <c r="CC6" s="1111"/>
      <c r="CD6" s="1111"/>
      <c r="CE6" s="1111"/>
      <c r="CF6" s="1111"/>
      <c r="CG6" s="1111"/>
      <c r="CH6" s="1111"/>
      <c r="CI6" s="1111"/>
      <c r="CJ6" s="1111"/>
      <c r="CK6" s="1111"/>
      <c r="CL6" s="1111"/>
      <c r="CM6" s="1111"/>
      <c r="CN6" s="1111"/>
      <c r="CO6" s="1111"/>
      <c r="CP6" s="1111"/>
      <c r="CQ6" s="1111"/>
      <c r="CR6" s="1111"/>
      <c r="CS6" s="1111"/>
      <c r="CT6" s="1111"/>
      <c r="CU6" s="1111"/>
      <c r="CV6" s="1111"/>
      <c r="CW6" s="1111"/>
      <c r="CX6" s="1111"/>
      <c r="CY6" s="1111"/>
      <c r="CZ6" s="1111"/>
      <c r="DA6" s="1111"/>
      <c r="DB6" s="1111"/>
      <c r="DC6" s="1111"/>
      <c r="DD6" s="1111"/>
      <c r="DE6" s="1111"/>
      <c r="DF6" s="1111"/>
      <c r="DG6" s="1111"/>
      <c r="DH6" s="1111"/>
      <c r="DI6" s="1111"/>
      <c r="DJ6" s="1111"/>
      <c r="DK6" s="1111"/>
      <c r="DL6" s="1111"/>
      <c r="DM6" s="1111"/>
      <c r="DN6" s="1111"/>
      <c r="DO6" s="1111"/>
      <c r="DP6" s="1111"/>
      <c r="DQ6" s="1111"/>
      <c r="DR6" s="1111"/>
      <c r="DS6" s="1111"/>
      <c r="DT6" s="1111"/>
      <c r="DU6" s="1111"/>
      <c r="DV6" s="1111"/>
      <c r="DW6" s="1111"/>
      <c r="DX6" s="1111"/>
      <c r="DY6" s="1111"/>
      <c r="DZ6" s="1111"/>
      <c r="EA6" s="1111"/>
      <c r="EB6" s="1111"/>
      <c r="EC6" s="1111"/>
      <c r="ED6" s="1111"/>
      <c r="EE6" s="1111"/>
      <c r="EF6" s="1111"/>
      <c r="EG6" s="1111"/>
      <c r="EH6" s="1111"/>
      <c r="EI6" s="1111"/>
      <c r="EJ6" s="1111"/>
      <c r="EK6" s="1111"/>
      <c r="EL6" s="1111"/>
      <c r="EM6" s="1111"/>
      <c r="EN6" s="1111"/>
      <c r="EO6" s="1111"/>
      <c r="EP6" s="1111"/>
      <c r="EQ6" s="1111"/>
      <c r="ER6" s="1111"/>
      <c r="ES6" s="1111"/>
      <c r="ET6" s="1111"/>
      <c r="EU6" s="1111"/>
      <c r="EV6" s="1111"/>
      <c r="EW6" s="1111"/>
      <c r="EX6" s="1111"/>
      <c r="EY6" s="1111"/>
      <c r="EZ6" s="1111"/>
      <c r="FA6" s="1111"/>
      <c r="FB6" s="1111"/>
      <c r="FC6" s="1111"/>
      <c r="FD6" s="1111"/>
      <c r="FE6" s="1111"/>
      <c r="FF6" s="1111"/>
      <c r="FG6" s="1111"/>
      <c r="FH6" s="1111"/>
      <c r="FI6" s="1111"/>
      <c r="FJ6" s="1111"/>
      <c r="FK6" s="1111"/>
      <c r="FL6" s="1111"/>
      <c r="FM6" s="1111"/>
      <c r="FN6" s="1111"/>
      <c r="FO6" s="1111"/>
      <c r="FP6" s="1111"/>
      <c r="FQ6" s="1111"/>
      <c r="FR6" s="1111"/>
      <c r="FS6" s="1111"/>
      <c r="FT6" s="1111"/>
      <c r="FU6" s="1111"/>
      <c r="FV6" s="1111"/>
      <c r="FW6" s="1111"/>
      <c r="FX6" s="1111"/>
      <c r="FY6" s="1111"/>
      <c r="FZ6" s="1111"/>
      <c r="GA6" s="1111"/>
      <c r="GB6" s="1111"/>
      <c r="GC6" s="1111"/>
      <c r="GD6" s="1111"/>
      <c r="GE6" s="1111"/>
      <c r="GF6" s="1111"/>
      <c r="GG6" s="1111"/>
      <c r="GH6" s="1111"/>
      <c r="GI6" s="1111"/>
      <c r="GJ6" s="1111"/>
      <c r="GK6" s="1111"/>
      <c r="GL6" s="1111"/>
      <c r="GM6" s="1111"/>
      <c r="GN6" s="1111"/>
      <c r="GO6" s="1111"/>
      <c r="GP6" s="1111"/>
      <c r="GQ6" s="1111"/>
      <c r="GR6" s="1111"/>
      <c r="GS6" s="1111"/>
      <c r="GT6" s="1111"/>
      <c r="GU6" s="1111"/>
      <c r="GV6" s="1111"/>
      <c r="GW6" s="1111"/>
      <c r="GX6" s="1111"/>
      <c r="GY6" s="1111"/>
      <c r="GZ6" s="1111"/>
      <c r="HA6" s="1111"/>
      <c r="HB6" s="1111"/>
      <c r="HC6" s="1111"/>
      <c r="HD6" s="1111"/>
      <c r="HE6" s="1111"/>
      <c r="HF6" s="1111"/>
      <c r="HG6" s="1111"/>
      <c r="HH6" s="1111"/>
      <c r="HI6" s="1111"/>
      <c r="HJ6" s="1111"/>
      <c r="HK6" s="1111"/>
      <c r="HL6" s="1111"/>
      <c r="HM6" s="1111"/>
      <c r="HN6" s="1111"/>
      <c r="HO6" s="1111"/>
      <c r="HP6" s="1111"/>
      <c r="HQ6" s="1111"/>
      <c r="HR6" s="1111"/>
      <c r="HS6" s="1111"/>
      <c r="HT6" s="1111"/>
      <c r="HU6" s="1111"/>
      <c r="HV6" s="1111"/>
      <c r="HW6" s="1111"/>
      <c r="HX6" s="1111"/>
      <c r="HY6" s="1111"/>
      <c r="HZ6" s="1111"/>
      <c r="IA6" s="1111"/>
      <c r="IB6" s="1111"/>
      <c r="IC6" s="1111"/>
      <c r="ID6" s="1111"/>
      <c r="IE6" s="1111"/>
      <c r="IF6" s="1111"/>
      <c r="IG6" s="1111"/>
      <c r="IH6" s="1111"/>
      <c r="II6" s="1111"/>
      <c r="IJ6" s="1111"/>
      <c r="IK6" s="1111"/>
      <c r="IL6" s="1111"/>
      <c r="IM6" s="1111"/>
      <c r="IN6" s="1111"/>
      <c r="IO6" s="1111"/>
      <c r="IP6" s="1111"/>
      <c r="IQ6" s="1111"/>
      <c r="IR6" s="1111"/>
      <c r="IS6" s="1111"/>
      <c r="IT6" s="1111"/>
      <c r="IU6" s="1111"/>
      <c r="IV6" s="1111"/>
    </row>
    <row r="7" s="1083" customFormat="1" ht="18.6" customHeight="1" spans="1:256">
      <c r="A7" s="1098" t="s">
        <v>101</v>
      </c>
      <c r="B7" s="1099">
        <f>资产负债表!B7/资产负债表!B37</f>
        <v>0.018252103264397</v>
      </c>
      <c r="C7" s="1099">
        <f>资产负债表!C7/资产负债表!C37</f>
        <v>0.0106732494049021</v>
      </c>
      <c r="D7" s="1099">
        <f t="shared" si="0"/>
        <v>0.00757885385949487</v>
      </c>
      <c r="E7" s="1098" t="s">
        <v>102</v>
      </c>
      <c r="F7" s="1100">
        <f>资产负债表!E7/资产负债表!E37</f>
        <v>0</v>
      </c>
      <c r="G7" s="1099">
        <f>资产负债表!F7/资产负债表!F37</f>
        <v>0</v>
      </c>
      <c r="H7" s="1101">
        <f t="shared" si="1"/>
        <v>0</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1"/>
      <c r="AL7" s="1111"/>
      <c r="AM7" s="1111"/>
      <c r="AN7" s="1111"/>
      <c r="AO7" s="1111"/>
      <c r="AP7" s="1111"/>
      <c r="AQ7" s="1111"/>
      <c r="AR7" s="1111"/>
      <c r="AS7" s="1111"/>
      <c r="AT7" s="1111"/>
      <c r="AU7" s="1111"/>
      <c r="AV7" s="1111"/>
      <c r="AW7" s="1111"/>
      <c r="AX7" s="1111"/>
      <c r="AY7" s="1111"/>
      <c r="AZ7" s="1111"/>
      <c r="BA7" s="1111"/>
      <c r="BB7" s="1111"/>
      <c r="BC7" s="1111"/>
      <c r="BD7" s="1111"/>
      <c r="BE7" s="1111"/>
      <c r="BF7" s="1111"/>
      <c r="BG7" s="1111"/>
      <c r="BH7" s="1111"/>
      <c r="BI7" s="1111"/>
      <c r="BJ7" s="1111"/>
      <c r="BK7" s="1111"/>
      <c r="BL7" s="1111"/>
      <c r="BM7" s="1111"/>
      <c r="BN7" s="1111"/>
      <c r="BO7" s="1111"/>
      <c r="BP7" s="1111"/>
      <c r="BQ7" s="1111"/>
      <c r="BR7" s="1111"/>
      <c r="BS7" s="1111"/>
      <c r="BT7" s="1111"/>
      <c r="BU7" s="1111"/>
      <c r="BV7" s="1111"/>
      <c r="BW7" s="1111"/>
      <c r="BX7" s="1111"/>
      <c r="BY7" s="1111"/>
      <c r="BZ7" s="1111"/>
      <c r="CA7" s="1111"/>
      <c r="CB7" s="1111"/>
      <c r="CC7" s="1111"/>
      <c r="CD7" s="1111"/>
      <c r="CE7" s="1111"/>
      <c r="CF7" s="1111"/>
      <c r="CG7" s="1111"/>
      <c r="CH7" s="1111"/>
      <c r="CI7" s="1111"/>
      <c r="CJ7" s="1111"/>
      <c r="CK7" s="1111"/>
      <c r="CL7" s="1111"/>
      <c r="CM7" s="1111"/>
      <c r="CN7" s="1111"/>
      <c r="CO7" s="1111"/>
      <c r="CP7" s="1111"/>
      <c r="CQ7" s="1111"/>
      <c r="CR7" s="1111"/>
      <c r="CS7" s="1111"/>
      <c r="CT7" s="1111"/>
      <c r="CU7" s="1111"/>
      <c r="CV7" s="1111"/>
      <c r="CW7" s="1111"/>
      <c r="CX7" s="1111"/>
      <c r="CY7" s="1111"/>
      <c r="CZ7" s="1111"/>
      <c r="DA7" s="1111"/>
      <c r="DB7" s="1111"/>
      <c r="DC7" s="1111"/>
      <c r="DD7" s="1111"/>
      <c r="DE7" s="1111"/>
      <c r="DF7" s="1111"/>
      <c r="DG7" s="1111"/>
      <c r="DH7" s="1111"/>
      <c r="DI7" s="1111"/>
      <c r="DJ7" s="1111"/>
      <c r="DK7" s="1111"/>
      <c r="DL7" s="1111"/>
      <c r="DM7" s="1111"/>
      <c r="DN7" s="1111"/>
      <c r="DO7" s="1111"/>
      <c r="DP7" s="1111"/>
      <c r="DQ7" s="1111"/>
      <c r="DR7" s="1111"/>
      <c r="DS7" s="1111"/>
      <c r="DT7" s="1111"/>
      <c r="DU7" s="1111"/>
      <c r="DV7" s="1111"/>
      <c r="DW7" s="1111"/>
      <c r="DX7" s="1111"/>
      <c r="DY7" s="1111"/>
      <c r="DZ7" s="1111"/>
      <c r="EA7" s="1111"/>
      <c r="EB7" s="1111"/>
      <c r="EC7" s="1111"/>
      <c r="ED7" s="1111"/>
      <c r="EE7" s="1111"/>
      <c r="EF7" s="1111"/>
      <c r="EG7" s="1111"/>
      <c r="EH7" s="1111"/>
      <c r="EI7" s="1111"/>
      <c r="EJ7" s="1111"/>
      <c r="EK7" s="1111"/>
      <c r="EL7" s="1111"/>
      <c r="EM7" s="1111"/>
      <c r="EN7" s="1111"/>
      <c r="EO7" s="1111"/>
      <c r="EP7" s="1111"/>
      <c r="EQ7" s="1111"/>
      <c r="ER7" s="1111"/>
      <c r="ES7" s="1111"/>
      <c r="ET7" s="1111"/>
      <c r="EU7" s="1111"/>
      <c r="EV7" s="1111"/>
      <c r="EW7" s="1111"/>
      <c r="EX7" s="1111"/>
      <c r="EY7" s="1111"/>
      <c r="EZ7" s="1111"/>
      <c r="FA7" s="1111"/>
      <c r="FB7" s="1111"/>
      <c r="FC7" s="1111"/>
      <c r="FD7" s="1111"/>
      <c r="FE7" s="1111"/>
      <c r="FF7" s="1111"/>
      <c r="FG7" s="1111"/>
      <c r="FH7" s="1111"/>
      <c r="FI7" s="1111"/>
      <c r="FJ7" s="1111"/>
      <c r="FK7" s="1111"/>
      <c r="FL7" s="1111"/>
      <c r="FM7" s="1111"/>
      <c r="FN7" s="1111"/>
      <c r="FO7" s="1111"/>
      <c r="FP7" s="1111"/>
      <c r="FQ7" s="1111"/>
      <c r="FR7" s="1111"/>
      <c r="FS7" s="1111"/>
      <c r="FT7" s="1111"/>
      <c r="FU7" s="1111"/>
      <c r="FV7" s="1111"/>
      <c r="FW7" s="1111"/>
      <c r="FX7" s="1111"/>
      <c r="FY7" s="1111"/>
      <c r="FZ7" s="1111"/>
      <c r="GA7" s="1111"/>
      <c r="GB7" s="1111"/>
      <c r="GC7" s="1111"/>
      <c r="GD7" s="1111"/>
      <c r="GE7" s="1111"/>
      <c r="GF7" s="1111"/>
      <c r="GG7" s="1111"/>
      <c r="GH7" s="1111"/>
      <c r="GI7" s="1111"/>
      <c r="GJ7" s="1111"/>
      <c r="GK7" s="1111"/>
      <c r="GL7" s="1111"/>
      <c r="GM7" s="1111"/>
      <c r="GN7" s="1111"/>
      <c r="GO7" s="1111"/>
      <c r="GP7" s="1111"/>
      <c r="GQ7" s="1111"/>
      <c r="GR7" s="1111"/>
      <c r="GS7" s="1111"/>
      <c r="GT7" s="1111"/>
      <c r="GU7" s="1111"/>
      <c r="GV7" s="1111"/>
      <c r="GW7" s="1111"/>
      <c r="GX7" s="1111"/>
      <c r="GY7" s="1111"/>
      <c r="GZ7" s="1111"/>
      <c r="HA7" s="1111"/>
      <c r="HB7" s="1111"/>
      <c r="HC7" s="1111"/>
      <c r="HD7" s="1111"/>
      <c r="HE7" s="1111"/>
      <c r="HF7" s="1111"/>
      <c r="HG7" s="1111"/>
      <c r="HH7" s="1111"/>
      <c r="HI7" s="1111"/>
      <c r="HJ7" s="1111"/>
      <c r="HK7" s="1111"/>
      <c r="HL7" s="1111"/>
      <c r="HM7" s="1111"/>
      <c r="HN7" s="1111"/>
      <c r="HO7" s="1111"/>
      <c r="HP7" s="1111"/>
      <c r="HQ7" s="1111"/>
      <c r="HR7" s="1111"/>
      <c r="HS7" s="1111"/>
      <c r="HT7" s="1111"/>
      <c r="HU7" s="1111"/>
      <c r="HV7" s="1111"/>
      <c r="HW7" s="1111"/>
      <c r="HX7" s="1111"/>
      <c r="HY7" s="1111"/>
      <c r="HZ7" s="1111"/>
      <c r="IA7" s="1111"/>
      <c r="IB7" s="1111"/>
      <c r="IC7" s="1111"/>
      <c r="ID7" s="1111"/>
      <c r="IE7" s="1111"/>
      <c r="IF7" s="1111"/>
      <c r="IG7" s="1111"/>
      <c r="IH7" s="1111"/>
      <c r="II7" s="1111"/>
      <c r="IJ7" s="1111"/>
      <c r="IK7" s="1111"/>
      <c r="IL7" s="1111"/>
      <c r="IM7" s="1111"/>
      <c r="IN7" s="1111"/>
      <c r="IO7" s="1111"/>
      <c r="IP7" s="1111"/>
      <c r="IQ7" s="1111"/>
      <c r="IR7" s="1111"/>
      <c r="IS7" s="1111"/>
      <c r="IT7" s="1111"/>
      <c r="IU7" s="1111"/>
      <c r="IV7" s="1111"/>
    </row>
    <row r="8" s="1083" customFormat="1" ht="18.6" customHeight="1" spans="1:256">
      <c r="A8" s="1098" t="s">
        <v>103</v>
      </c>
      <c r="B8" s="1099">
        <f>资产负债表!B8/资产负债表!B37</f>
        <v>0.00196073362188728</v>
      </c>
      <c r="C8" s="1099">
        <f>资产负债表!C8/资产负债表!C37</f>
        <v>0.000306621695484662</v>
      </c>
      <c r="D8" s="1099">
        <f t="shared" si="0"/>
        <v>0.00165411192640262</v>
      </c>
      <c r="E8" s="1098" t="s">
        <v>104</v>
      </c>
      <c r="F8" s="1100">
        <f>资产负债表!E8/资产负债表!E37</f>
        <v>0.15010267125385</v>
      </c>
      <c r="G8" s="1099">
        <f>资产负债表!F8/资产负债表!F37</f>
        <v>0.384467571473554</v>
      </c>
      <c r="H8" s="1101">
        <f t="shared" si="1"/>
        <v>-0.234364900219704</v>
      </c>
      <c r="I8" s="1111"/>
      <c r="J8" s="1111"/>
      <c r="K8" s="1111"/>
      <c r="L8" s="1111"/>
      <c r="M8" s="1111"/>
      <c r="N8" s="1111"/>
      <c r="O8" s="1111"/>
      <c r="P8" s="1111"/>
      <c r="Q8" s="1111"/>
      <c r="R8" s="1111"/>
      <c r="S8" s="1111"/>
      <c r="T8" s="1111"/>
      <c r="U8" s="1111"/>
      <c r="V8" s="1111"/>
      <c r="W8" s="1111"/>
      <c r="X8" s="1111"/>
      <c r="Y8" s="1111"/>
      <c r="Z8" s="1111"/>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c r="BB8" s="1111"/>
      <c r="BC8" s="1111"/>
      <c r="BD8" s="1111"/>
      <c r="BE8" s="1111"/>
      <c r="BF8" s="1111"/>
      <c r="BG8" s="1111"/>
      <c r="BH8" s="1111"/>
      <c r="BI8" s="1111"/>
      <c r="BJ8" s="1111"/>
      <c r="BK8" s="1111"/>
      <c r="BL8" s="1111"/>
      <c r="BM8" s="1111"/>
      <c r="BN8" s="1111"/>
      <c r="BO8" s="1111"/>
      <c r="BP8" s="1111"/>
      <c r="BQ8" s="1111"/>
      <c r="BR8" s="1111"/>
      <c r="BS8" s="1111"/>
      <c r="BT8" s="1111"/>
      <c r="BU8" s="1111"/>
      <c r="BV8" s="1111"/>
      <c r="BW8" s="1111"/>
      <c r="BX8" s="1111"/>
      <c r="BY8" s="1111"/>
      <c r="BZ8" s="1111"/>
      <c r="CA8" s="1111"/>
      <c r="CB8" s="1111"/>
      <c r="CC8" s="1111"/>
      <c r="CD8" s="1111"/>
      <c r="CE8" s="1111"/>
      <c r="CF8" s="1111"/>
      <c r="CG8" s="1111"/>
      <c r="CH8" s="1111"/>
      <c r="CI8" s="1111"/>
      <c r="CJ8" s="1111"/>
      <c r="CK8" s="1111"/>
      <c r="CL8" s="1111"/>
      <c r="CM8" s="1111"/>
      <c r="CN8" s="1111"/>
      <c r="CO8" s="1111"/>
      <c r="CP8" s="1111"/>
      <c r="CQ8" s="1111"/>
      <c r="CR8" s="1111"/>
      <c r="CS8" s="1111"/>
      <c r="CT8" s="1111"/>
      <c r="CU8" s="1111"/>
      <c r="CV8" s="1111"/>
      <c r="CW8" s="1111"/>
      <c r="CX8" s="1111"/>
      <c r="CY8" s="1111"/>
      <c r="CZ8" s="1111"/>
      <c r="DA8" s="1111"/>
      <c r="DB8" s="1111"/>
      <c r="DC8" s="1111"/>
      <c r="DD8" s="1111"/>
      <c r="DE8" s="1111"/>
      <c r="DF8" s="1111"/>
      <c r="DG8" s="1111"/>
      <c r="DH8" s="1111"/>
      <c r="DI8" s="1111"/>
      <c r="DJ8" s="1111"/>
      <c r="DK8" s="1111"/>
      <c r="DL8" s="1111"/>
      <c r="DM8" s="1111"/>
      <c r="DN8" s="1111"/>
      <c r="DO8" s="1111"/>
      <c r="DP8" s="1111"/>
      <c r="DQ8" s="1111"/>
      <c r="DR8" s="1111"/>
      <c r="DS8" s="1111"/>
      <c r="DT8" s="1111"/>
      <c r="DU8" s="1111"/>
      <c r="DV8" s="1111"/>
      <c r="DW8" s="1111"/>
      <c r="DX8" s="1111"/>
      <c r="DY8" s="1111"/>
      <c r="DZ8" s="1111"/>
      <c r="EA8" s="1111"/>
      <c r="EB8" s="1111"/>
      <c r="EC8" s="1111"/>
      <c r="ED8" s="1111"/>
      <c r="EE8" s="1111"/>
      <c r="EF8" s="1111"/>
      <c r="EG8" s="1111"/>
      <c r="EH8" s="1111"/>
      <c r="EI8" s="1111"/>
      <c r="EJ8" s="1111"/>
      <c r="EK8" s="1111"/>
      <c r="EL8" s="1111"/>
      <c r="EM8" s="1111"/>
      <c r="EN8" s="1111"/>
      <c r="EO8" s="1111"/>
      <c r="EP8" s="1111"/>
      <c r="EQ8" s="1111"/>
      <c r="ER8" s="1111"/>
      <c r="ES8" s="1111"/>
      <c r="ET8" s="1111"/>
      <c r="EU8" s="1111"/>
      <c r="EV8" s="1111"/>
      <c r="EW8" s="1111"/>
      <c r="EX8" s="1111"/>
      <c r="EY8" s="1111"/>
      <c r="EZ8" s="1111"/>
      <c r="FA8" s="1111"/>
      <c r="FB8" s="1111"/>
      <c r="FC8" s="1111"/>
      <c r="FD8" s="1111"/>
      <c r="FE8" s="1111"/>
      <c r="FF8" s="1111"/>
      <c r="FG8" s="1111"/>
      <c r="FH8" s="1111"/>
      <c r="FI8" s="1111"/>
      <c r="FJ8" s="1111"/>
      <c r="FK8" s="1111"/>
      <c r="FL8" s="1111"/>
      <c r="FM8" s="1111"/>
      <c r="FN8" s="1111"/>
      <c r="FO8" s="1111"/>
      <c r="FP8" s="1111"/>
      <c r="FQ8" s="1111"/>
      <c r="FR8" s="1111"/>
      <c r="FS8" s="1111"/>
      <c r="FT8" s="1111"/>
      <c r="FU8" s="1111"/>
      <c r="FV8" s="1111"/>
      <c r="FW8" s="1111"/>
      <c r="FX8" s="1111"/>
      <c r="FY8" s="1111"/>
      <c r="FZ8" s="1111"/>
      <c r="GA8" s="1111"/>
      <c r="GB8" s="1111"/>
      <c r="GC8" s="1111"/>
      <c r="GD8" s="1111"/>
      <c r="GE8" s="1111"/>
      <c r="GF8" s="1111"/>
      <c r="GG8" s="1111"/>
      <c r="GH8" s="1111"/>
      <c r="GI8" s="1111"/>
      <c r="GJ8" s="1111"/>
      <c r="GK8" s="1111"/>
      <c r="GL8" s="1111"/>
      <c r="GM8" s="1111"/>
      <c r="GN8" s="1111"/>
      <c r="GO8" s="1111"/>
      <c r="GP8" s="1111"/>
      <c r="GQ8" s="1111"/>
      <c r="GR8" s="1111"/>
      <c r="GS8" s="1111"/>
      <c r="GT8" s="1111"/>
      <c r="GU8" s="1111"/>
      <c r="GV8" s="1111"/>
      <c r="GW8" s="1111"/>
      <c r="GX8" s="1111"/>
      <c r="GY8" s="1111"/>
      <c r="GZ8" s="1111"/>
      <c r="HA8" s="1111"/>
      <c r="HB8" s="1111"/>
      <c r="HC8" s="1111"/>
      <c r="HD8" s="1111"/>
      <c r="HE8" s="1111"/>
      <c r="HF8" s="1111"/>
      <c r="HG8" s="1111"/>
      <c r="HH8" s="1111"/>
      <c r="HI8" s="1111"/>
      <c r="HJ8" s="1111"/>
      <c r="HK8" s="1111"/>
      <c r="HL8" s="1111"/>
      <c r="HM8" s="1111"/>
      <c r="HN8" s="1111"/>
      <c r="HO8" s="1111"/>
      <c r="HP8" s="1111"/>
      <c r="HQ8" s="1111"/>
      <c r="HR8" s="1111"/>
      <c r="HS8" s="1111"/>
      <c r="HT8" s="1111"/>
      <c r="HU8" s="1111"/>
      <c r="HV8" s="1111"/>
      <c r="HW8" s="1111"/>
      <c r="HX8" s="1111"/>
      <c r="HY8" s="1111"/>
      <c r="HZ8" s="1111"/>
      <c r="IA8" s="1111"/>
      <c r="IB8" s="1111"/>
      <c r="IC8" s="1111"/>
      <c r="ID8" s="1111"/>
      <c r="IE8" s="1111"/>
      <c r="IF8" s="1111"/>
      <c r="IG8" s="1111"/>
      <c r="IH8" s="1111"/>
      <c r="II8" s="1111"/>
      <c r="IJ8" s="1111"/>
      <c r="IK8" s="1111"/>
      <c r="IL8" s="1111"/>
      <c r="IM8" s="1111"/>
      <c r="IN8" s="1111"/>
      <c r="IO8" s="1111"/>
      <c r="IP8" s="1111"/>
      <c r="IQ8" s="1111"/>
      <c r="IR8" s="1111"/>
      <c r="IS8" s="1111"/>
      <c r="IT8" s="1111"/>
      <c r="IU8" s="1111"/>
      <c r="IV8" s="1111"/>
    </row>
    <row r="9" s="1083" customFormat="1" ht="18.6" customHeight="1" spans="1:256">
      <c r="A9" s="1098" t="s">
        <v>105</v>
      </c>
      <c r="B9" s="1099">
        <f>资产负债表!B9/资产负债表!B37</f>
        <v>0.710878193675852</v>
      </c>
      <c r="C9" s="1099">
        <f>资产负债表!C9/资产负债表!C37</f>
        <v>0.411461874480632</v>
      </c>
      <c r="D9" s="1099">
        <f t="shared" si="0"/>
        <v>0.29941631919522</v>
      </c>
      <c r="E9" s="1098" t="s">
        <v>106</v>
      </c>
      <c r="F9" s="1100">
        <f>资产负债表!E9/资产负债表!E37</f>
        <v>0.0299750526865645</v>
      </c>
      <c r="G9" s="1099">
        <f>资产负债表!F9/资产负债表!F37</f>
        <v>0.130846748381486</v>
      </c>
      <c r="H9" s="1101">
        <f t="shared" si="1"/>
        <v>-0.100871695694922</v>
      </c>
      <c r="I9" s="1111"/>
      <c r="J9" s="1111"/>
      <c r="K9" s="1111"/>
      <c r="L9" s="1111"/>
      <c r="M9" s="1111"/>
      <c r="N9" s="1111"/>
      <c r="O9" s="1111"/>
      <c r="P9" s="1111"/>
      <c r="Q9" s="1111"/>
      <c r="R9" s="1111"/>
      <c r="S9" s="1111"/>
      <c r="T9" s="1111"/>
      <c r="U9" s="1111"/>
      <c r="V9" s="1111"/>
      <c r="W9" s="1111"/>
      <c r="X9" s="1111"/>
      <c r="Y9" s="1111"/>
      <c r="Z9" s="1111"/>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1111"/>
      <c r="BH9" s="1111"/>
      <c r="BI9" s="1111"/>
      <c r="BJ9" s="1111"/>
      <c r="BK9" s="1111"/>
      <c r="BL9" s="1111"/>
      <c r="BM9" s="1111"/>
      <c r="BN9" s="1111"/>
      <c r="BO9" s="1111"/>
      <c r="BP9" s="1111"/>
      <c r="BQ9" s="1111"/>
      <c r="BR9" s="1111"/>
      <c r="BS9" s="1111"/>
      <c r="BT9" s="1111"/>
      <c r="BU9" s="1111"/>
      <c r="BV9" s="1111"/>
      <c r="BW9" s="1111"/>
      <c r="BX9" s="1111"/>
      <c r="BY9" s="1111"/>
      <c r="BZ9" s="1111"/>
      <c r="CA9" s="1111"/>
      <c r="CB9" s="1111"/>
      <c r="CC9" s="1111"/>
      <c r="CD9" s="1111"/>
      <c r="CE9" s="1111"/>
      <c r="CF9" s="1111"/>
      <c r="CG9" s="1111"/>
      <c r="CH9" s="1111"/>
      <c r="CI9" s="1111"/>
      <c r="CJ9" s="1111"/>
      <c r="CK9" s="1111"/>
      <c r="CL9" s="1111"/>
      <c r="CM9" s="1111"/>
      <c r="CN9" s="1111"/>
      <c r="CO9" s="1111"/>
      <c r="CP9" s="1111"/>
      <c r="CQ9" s="1111"/>
      <c r="CR9" s="1111"/>
      <c r="CS9" s="1111"/>
      <c r="CT9" s="1111"/>
      <c r="CU9" s="1111"/>
      <c r="CV9" s="1111"/>
      <c r="CW9" s="1111"/>
      <c r="CX9" s="1111"/>
      <c r="CY9" s="1111"/>
      <c r="CZ9" s="1111"/>
      <c r="DA9" s="1111"/>
      <c r="DB9" s="1111"/>
      <c r="DC9" s="1111"/>
      <c r="DD9" s="1111"/>
      <c r="DE9" s="1111"/>
      <c r="DF9" s="1111"/>
      <c r="DG9" s="1111"/>
      <c r="DH9" s="1111"/>
      <c r="DI9" s="1111"/>
      <c r="DJ9" s="1111"/>
      <c r="DK9" s="1111"/>
      <c r="DL9" s="1111"/>
      <c r="DM9" s="1111"/>
      <c r="DN9" s="1111"/>
      <c r="DO9" s="1111"/>
      <c r="DP9" s="1111"/>
      <c r="DQ9" s="1111"/>
      <c r="DR9" s="1111"/>
      <c r="DS9" s="1111"/>
      <c r="DT9" s="1111"/>
      <c r="DU9" s="1111"/>
      <c r="DV9" s="1111"/>
      <c r="DW9" s="1111"/>
      <c r="DX9" s="1111"/>
      <c r="DY9" s="1111"/>
      <c r="DZ9" s="1111"/>
      <c r="EA9" s="1111"/>
      <c r="EB9" s="1111"/>
      <c r="EC9" s="1111"/>
      <c r="ED9" s="1111"/>
      <c r="EE9" s="1111"/>
      <c r="EF9" s="1111"/>
      <c r="EG9" s="1111"/>
      <c r="EH9" s="1111"/>
      <c r="EI9" s="1111"/>
      <c r="EJ9" s="1111"/>
      <c r="EK9" s="1111"/>
      <c r="EL9" s="1111"/>
      <c r="EM9" s="1111"/>
      <c r="EN9" s="1111"/>
      <c r="EO9" s="1111"/>
      <c r="EP9" s="1111"/>
      <c r="EQ9" s="1111"/>
      <c r="ER9" s="1111"/>
      <c r="ES9" s="1111"/>
      <c r="ET9" s="1111"/>
      <c r="EU9" s="1111"/>
      <c r="EV9" s="1111"/>
      <c r="EW9" s="1111"/>
      <c r="EX9" s="1111"/>
      <c r="EY9" s="1111"/>
      <c r="EZ9" s="1111"/>
      <c r="FA9" s="1111"/>
      <c r="FB9" s="1111"/>
      <c r="FC9" s="1111"/>
      <c r="FD9" s="1111"/>
      <c r="FE9" s="1111"/>
      <c r="FF9" s="1111"/>
      <c r="FG9" s="1111"/>
      <c r="FH9" s="1111"/>
      <c r="FI9" s="1111"/>
      <c r="FJ9" s="1111"/>
      <c r="FK9" s="1111"/>
      <c r="FL9" s="1111"/>
      <c r="FM9" s="1111"/>
      <c r="FN9" s="1111"/>
      <c r="FO9" s="1111"/>
      <c r="FP9" s="1111"/>
      <c r="FQ9" s="1111"/>
      <c r="FR9" s="1111"/>
      <c r="FS9" s="1111"/>
      <c r="FT9" s="1111"/>
      <c r="FU9" s="1111"/>
      <c r="FV9" s="1111"/>
      <c r="FW9" s="1111"/>
      <c r="FX9" s="1111"/>
      <c r="FY9" s="1111"/>
      <c r="FZ9" s="1111"/>
      <c r="GA9" s="1111"/>
      <c r="GB9" s="1111"/>
      <c r="GC9" s="1111"/>
      <c r="GD9" s="1111"/>
      <c r="GE9" s="1111"/>
      <c r="GF9" s="1111"/>
      <c r="GG9" s="1111"/>
      <c r="GH9" s="1111"/>
      <c r="GI9" s="1111"/>
      <c r="GJ9" s="1111"/>
      <c r="GK9" s="1111"/>
      <c r="GL9" s="1111"/>
      <c r="GM9" s="1111"/>
      <c r="GN9" s="1111"/>
      <c r="GO9" s="1111"/>
      <c r="GP9" s="1111"/>
      <c r="GQ9" s="1111"/>
      <c r="GR9" s="1111"/>
      <c r="GS9" s="1111"/>
      <c r="GT9" s="1111"/>
      <c r="GU9" s="1111"/>
      <c r="GV9" s="1111"/>
      <c r="GW9" s="1111"/>
      <c r="GX9" s="1111"/>
      <c r="GY9" s="1111"/>
      <c r="GZ9" s="1111"/>
      <c r="HA9" s="1111"/>
      <c r="HB9" s="1111"/>
      <c r="HC9" s="1111"/>
      <c r="HD9" s="1111"/>
      <c r="HE9" s="1111"/>
      <c r="HF9" s="1111"/>
      <c r="HG9" s="1111"/>
      <c r="HH9" s="1111"/>
      <c r="HI9" s="1111"/>
      <c r="HJ9" s="1111"/>
      <c r="HK9" s="1111"/>
      <c r="HL9" s="1111"/>
      <c r="HM9" s="1111"/>
      <c r="HN9" s="1111"/>
      <c r="HO9" s="1111"/>
      <c r="HP9" s="1111"/>
      <c r="HQ9" s="1111"/>
      <c r="HR9" s="1111"/>
      <c r="HS9" s="1111"/>
      <c r="HT9" s="1111"/>
      <c r="HU9" s="1111"/>
      <c r="HV9" s="1111"/>
      <c r="HW9" s="1111"/>
      <c r="HX9" s="1111"/>
      <c r="HY9" s="1111"/>
      <c r="HZ9" s="1111"/>
      <c r="IA9" s="1111"/>
      <c r="IB9" s="1111"/>
      <c r="IC9" s="1111"/>
      <c r="ID9" s="1111"/>
      <c r="IE9" s="1111"/>
      <c r="IF9" s="1111"/>
      <c r="IG9" s="1111"/>
      <c r="IH9" s="1111"/>
      <c r="II9" s="1111"/>
      <c r="IJ9" s="1111"/>
      <c r="IK9" s="1111"/>
      <c r="IL9" s="1111"/>
      <c r="IM9" s="1111"/>
      <c r="IN9" s="1111"/>
      <c r="IO9" s="1111"/>
      <c r="IP9" s="1111"/>
      <c r="IQ9" s="1111"/>
      <c r="IR9" s="1111"/>
      <c r="IS9" s="1111"/>
      <c r="IT9" s="1111"/>
      <c r="IU9" s="1111"/>
      <c r="IV9" s="1111"/>
    </row>
    <row r="10" s="1083" customFormat="1" ht="18.6" customHeight="1" spans="1:256">
      <c r="A10" s="1098" t="s">
        <v>107</v>
      </c>
      <c r="B10" s="1099">
        <f>资产负债表!B10/资产负债表!B37</f>
        <v>0.000708912017351336</v>
      </c>
      <c r="C10" s="1099">
        <f>资产负债表!C10/资产负债表!C37</f>
        <v>0.00501926384130328</v>
      </c>
      <c r="D10" s="1099">
        <f t="shared" si="0"/>
        <v>-0.00431035182395194</v>
      </c>
      <c r="E10" s="1098" t="s">
        <v>108</v>
      </c>
      <c r="F10" s="1100">
        <f>资产负债表!E10/资产负债表!E37</f>
        <v>0.00300133292504998</v>
      </c>
      <c r="G10" s="1099">
        <f>资产负债表!F10/资产负债表!F37</f>
        <v>0</v>
      </c>
      <c r="H10" s="1101">
        <f t="shared" si="1"/>
        <v>0.00300133292504998</v>
      </c>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111"/>
      <c r="BL10" s="1111"/>
      <c r="BM10" s="1111"/>
      <c r="BN10" s="1111"/>
      <c r="BO10" s="1111"/>
      <c r="BP10" s="1111"/>
      <c r="BQ10" s="1111"/>
      <c r="BR10" s="1111"/>
      <c r="BS10" s="1111"/>
      <c r="BT10" s="1111"/>
      <c r="BU10" s="1111"/>
      <c r="BV10" s="1111"/>
      <c r="BW10" s="1111"/>
      <c r="BX10" s="1111"/>
      <c r="BY10" s="1111"/>
      <c r="BZ10" s="1111"/>
      <c r="CA10" s="1111"/>
      <c r="CB10" s="1111"/>
      <c r="CC10" s="1111"/>
      <c r="CD10" s="1111"/>
      <c r="CE10" s="1111"/>
      <c r="CF10" s="1111"/>
      <c r="CG10" s="1111"/>
      <c r="CH10" s="1111"/>
      <c r="CI10" s="1111"/>
      <c r="CJ10" s="1111"/>
      <c r="CK10" s="1111"/>
      <c r="CL10" s="1111"/>
      <c r="CM10" s="1111"/>
      <c r="CN10" s="1111"/>
      <c r="CO10" s="1111"/>
      <c r="CP10" s="1111"/>
      <c r="CQ10" s="1111"/>
      <c r="CR10" s="1111"/>
      <c r="CS10" s="1111"/>
      <c r="CT10" s="1111"/>
      <c r="CU10" s="1111"/>
      <c r="CV10" s="1111"/>
      <c r="CW10" s="1111"/>
      <c r="CX10" s="1111"/>
      <c r="CY10" s="1111"/>
      <c r="CZ10" s="1111"/>
      <c r="DA10" s="1111"/>
      <c r="DB10" s="1111"/>
      <c r="DC10" s="1111"/>
      <c r="DD10" s="1111"/>
      <c r="DE10" s="1111"/>
      <c r="DF10" s="1111"/>
      <c r="DG10" s="1111"/>
      <c r="DH10" s="1111"/>
      <c r="DI10" s="1111"/>
      <c r="DJ10" s="1111"/>
      <c r="DK10" s="1111"/>
      <c r="DL10" s="1111"/>
      <c r="DM10" s="1111"/>
      <c r="DN10" s="1111"/>
      <c r="DO10" s="1111"/>
      <c r="DP10" s="1111"/>
      <c r="DQ10" s="1111"/>
      <c r="DR10" s="1111"/>
      <c r="DS10" s="1111"/>
      <c r="DT10" s="1111"/>
      <c r="DU10" s="1111"/>
      <c r="DV10" s="1111"/>
      <c r="DW10" s="1111"/>
      <c r="DX10" s="1111"/>
      <c r="DY10" s="1111"/>
      <c r="DZ10" s="1111"/>
      <c r="EA10" s="1111"/>
      <c r="EB10" s="1111"/>
      <c r="EC10" s="1111"/>
      <c r="ED10" s="1111"/>
      <c r="EE10" s="1111"/>
      <c r="EF10" s="1111"/>
      <c r="EG10" s="1111"/>
      <c r="EH10" s="1111"/>
      <c r="EI10" s="1111"/>
      <c r="EJ10" s="1111"/>
      <c r="EK10" s="1111"/>
      <c r="EL10" s="1111"/>
      <c r="EM10" s="1111"/>
      <c r="EN10" s="1111"/>
      <c r="EO10" s="1111"/>
      <c r="EP10" s="1111"/>
      <c r="EQ10" s="1111"/>
      <c r="ER10" s="1111"/>
      <c r="ES10" s="1111"/>
      <c r="ET10" s="1111"/>
      <c r="EU10" s="1111"/>
      <c r="EV10" s="1111"/>
      <c r="EW10" s="1111"/>
      <c r="EX10" s="1111"/>
      <c r="EY10" s="1111"/>
      <c r="EZ10" s="1111"/>
      <c r="FA10" s="1111"/>
      <c r="FB10" s="1111"/>
      <c r="FC10" s="1111"/>
      <c r="FD10" s="1111"/>
      <c r="FE10" s="1111"/>
      <c r="FF10" s="1111"/>
      <c r="FG10" s="1111"/>
      <c r="FH10" s="1111"/>
      <c r="FI10" s="1111"/>
      <c r="FJ10" s="1111"/>
      <c r="FK10" s="1111"/>
      <c r="FL10" s="1111"/>
      <c r="FM10" s="1111"/>
      <c r="FN10" s="1111"/>
      <c r="FO10" s="1111"/>
      <c r="FP10" s="1111"/>
      <c r="FQ10" s="1111"/>
      <c r="FR10" s="1111"/>
      <c r="FS10" s="1111"/>
      <c r="FT10" s="1111"/>
      <c r="FU10" s="1111"/>
      <c r="FV10" s="1111"/>
      <c r="FW10" s="1111"/>
      <c r="FX10" s="1111"/>
      <c r="FY10" s="1111"/>
      <c r="FZ10" s="1111"/>
      <c r="GA10" s="1111"/>
      <c r="GB10" s="1111"/>
      <c r="GC10" s="1111"/>
      <c r="GD10" s="1111"/>
      <c r="GE10" s="1111"/>
      <c r="GF10" s="1111"/>
      <c r="GG10" s="1111"/>
      <c r="GH10" s="1111"/>
      <c r="GI10" s="1111"/>
      <c r="GJ10" s="1111"/>
      <c r="GK10" s="1111"/>
      <c r="GL10" s="1111"/>
      <c r="GM10" s="1111"/>
      <c r="GN10" s="1111"/>
      <c r="GO10" s="1111"/>
      <c r="GP10" s="1111"/>
      <c r="GQ10" s="1111"/>
      <c r="GR10" s="1111"/>
      <c r="GS10" s="1111"/>
      <c r="GT10" s="1111"/>
      <c r="GU10" s="1111"/>
      <c r="GV10" s="1111"/>
      <c r="GW10" s="1111"/>
      <c r="GX10" s="1111"/>
      <c r="GY10" s="1111"/>
      <c r="GZ10" s="1111"/>
      <c r="HA10" s="1111"/>
      <c r="HB10" s="1111"/>
      <c r="HC10" s="1111"/>
      <c r="HD10" s="1111"/>
      <c r="HE10" s="1111"/>
      <c r="HF10" s="1111"/>
      <c r="HG10" s="1111"/>
      <c r="HH10" s="1111"/>
      <c r="HI10" s="1111"/>
      <c r="HJ10" s="1111"/>
      <c r="HK10" s="1111"/>
      <c r="HL10" s="1111"/>
      <c r="HM10" s="1111"/>
      <c r="HN10" s="1111"/>
      <c r="HO10" s="1111"/>
      <c r="HP10" s="1111"/>
      <c r="HQ10" s="1111"/>
      <c r="HR10" s="1111"/>
      <c r="HS10" s="1111"/>
      <c r="HT10" s="1111"/>
      <c r="HU10" s="1111"/>
      <c r="HV10" s="1111"/>
      <c r="HW10" s="1111"/>
      <c r="HX10" s="1111"/>
      <c r="HY10" s="1111"/>
      <c r="HZ10" s="1111"/>
      <c r="IA10" s="1111"/>
      <c r="IB10" s="1111"/>
      <c r="IC10" s="1111"/>
      <c r="ID10" s="1111"/>
      <c r="IE10" s="1111"/>
      <c r="IF10" s="1111"/>
      <c r="IG10" s="1111"/>
      <c r="IH10" s="1111"/>
      <c r="II10" s="1111"/>
      <c r="IJ10" s="1111"/>
      <c r="IK10" s="1111"/>
      <c r="IL10" s="1111"/>
      <c r="IM10" s="1111"/>
      <c r="IN10" s="1111"/>
      <c r="IO10" s="1111"/>
      <c r="IP10" s="1111"/>
      <c r="IQ10" s="1111"/>
      <c r="IR10" s="1111"/>
      <c r="IS10" s="1111"/>
      <c r="IT10" s="1111"/>
      <c r="IU10" s="1111"/>
      <c r="IV10" s="1111"/>
    </row>
    <row r="11" s="1083" customFormat="1" ht="18.6" customHeight="1" spans="1:256">
      <c r="A11" s="1098" t="s">
        <v>109</v>
      </c>
      <c r="B11" s="1099">
        <f>资产负债表!B11/资产负债表!B37</f>
        <v>0.0907108033565147</v>
      </c>
      <c r="C11" s="1099">
        <f>资产负债表!C11/资产负债表!C37</f>
        <v>0.0501978228378356</v>
      </c>
      <c r="D11" s="1099">
        <f t="shared" si="0"/>
        <v>0.0405129805186791</v>
      </c>
      <c r="E11" s="1098" t="s">
        <v>110</v>
      </c>
      <c r="F11" s="1100">
        <f>资产负债表!E11/资产负债表!E37</f>
        <v>0.0299705495613956</v>
      </c>
      <c r="G11" s="1099">
        <f>资产负债表!F11/资产负债表!F37</f>
        <v>0.0012837385048887</v>
      </c>
      <c r="H11" s="1101">
        <f t="shared" si="1"/>
        <v>0.0286868110565069</v>
      </c>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1111"/>
      <c r="AJ11" s="1111"/>
      <c r="AK11" s="1111"/>
      <c r="AL11" s="1111"/>
      <c r="AM11" s="1111"/>
      <c r="AN11" s="1111"/>
      <c r="AO11" s="1111"/>
      <c r="AP11" s="1111"/>
      <c r="AQ11" s="1111"/>
      <c r="AR11" s="1111"/>
      <c r="AS11" s="1111"/>
      <c r="AT11" s="1111"/>
      <c r="AU11" s="1111"/>
      <c r="AV11" s="1111"/>
      <c r="AW11" s="1111"/>
      <c r="AX11" s="1111"/>
      <c r="AY11" s="1111"/>
      <c r="AZ11" s="1111"/>
      <c r="BA11" s="1111"/>
      <c r="BB11" s="1111"/>
      <c r="BC11" s="1111"/>
      <c r="BD11" s="1111"/>
      <c r="BE11" s="1111"/>
      <c r="BF11" s="1111"/>
      <c r="BG11" s="1111"/>
      <c r="BH11" s="1111"/>
      <c r="BI11" s="1111"/>
      <c r="BJ11" s="1111"/>
      <c r="BK11" s="1111"/>
      <c r="BL11" s="1111"/>
      <c r="BM11" s="1111"/>
      <c r="BN11" s="1111"/>
      <c r="BO11" s="1111"/>
      <c r="BP11" s="1111"/>
      <c r="BQ11" s="1111"/>
      <c r="BR11" s="1111"/>
      <c r="BS11" s="1111"/>
      <c r="BT11" s="1111"/>
      <c r="BU11" s="1111"/>
      <c r="BV11" s="1111"/>
      <c r="BW11" s="1111"/>
      <c r="BX11" s="1111"/>
      <c r="BY11" s="1111"/>
      <c r="BZ11" s="1111"/>
      <c r="CA11" s="1111"/>
      <c r="CB11" s="1111"/>
      <c r="CC11" s="1111"/>
      <c r="CD11" s="1111"/>
      <c r="CE11" s="1111"/>
      <c r="CF11" s="1111"/>
      <c r="CG11" s="1111"/>
      <c r="CH11" s="1111"/>
      <c r="CI11" s="1111"/>
      <c r="CJ11" s="1111"/>
      <c r="CK11" s="1111"/>
      <c r="CL11" s="1111"/>
      <c r="CM11" s="1111"/>
      <c r="CN11" s="1111"/>
      <c r="CO11" s="1111"/>
      <c r="CP11" s="1111"/>
      <c r="CQ11" s="1111"/>
      <c r="CR11" s="1111"/>
      <c r="CS11" s="1111"/>
      <c r="CT11" s="1111"/>
      <c r="CU11" s="1111"/>
      <c r="CV11" s="1111"/>
      <c r="CW11" s="1111"/>
      <c r="CX11" s="1111"/>
      <c r="CY11" s="1111"/>
      <c r="CZ11" s="1111"/>
      <c r="DA11" s="1111"/>
      <c r="DB11" s="1111"/>
      <c r="DC11" s="1111"/>
      <c r="DD11" s="1111"/>
      <c r="DE11" s="1111"/>
      <c r="DF11" s="1111"/>
      <c r="DG11" s="1111"/>
      <c r="DH11" s="1111"/>
      <c r="DI11" s="1111"/>
      <c r="DJ11" s="1111"/>
      <c r="DK11" s="1111"/>
      <c r="DL11" s="1111"/>
      <c r="DM11" s="1111"/>
      <c r="DN11" s="1111"/>
      <c r="DO11" s="1111"/>
      <c r="DP11" s="1111"/>
      <c r="DQ11" s="1111"/>
      <c r="DR11" s="1111"/>
      <c r="DS11" s="1111"/>
      <c r="DT11" s="1111"/>
      <c r="DU11" s="1111"/>
      <c r="DV11" s="1111"/>
      <c r="DW11" s="1111"/>
      <c r="DX11" s="1111"/>
      <c r="DY11" s="1111"/>
      <c r="DZ11" s="1111"/>
      <c r="EA11" s="1111"/>
      <c r="EB11" s="1111"/>
      <c r="EC11" s="1111"/>
      <c r="ED11" s="1111"/>
      <c r="EE11" s="1111"/>
      <c r="EF11" s="1111"/>
      <c r="EG11" s="1111"/>
      <c r="EH11" s="1111"/>
      <c r="EI11" s="1111"/>
      <c r="EJ11" s="1111"/>
      <c r="EK11" s="1111"/>
      <c r="EL11" s="1111"/>
      <c r="EM11" s="1111"/>
      <c r="EN11" s="1111"/>
      <c r="EO11" s="1111"/>
      <c r="EP11" s="1111"/>
      <c r="EQ11" s="1111"/>
      <c r="ER11" s="1111"/>
      <c r="ES11" s="1111"/>
      <c r="ET11" s="1111"/>
      <c r="EU11" s="1111"/>
      <c r="EV11" s="1111"/>
      <c r="EW11" s="1111"/>
      <c r="EX11" s="1111"/>
      <c r="EY11" s="1111"/>
      <c r="EZ11" s="1111"/>
      <c r="FA11" s="1111"/>
      <c r="FB11" s="1111"/>
      <c r="FC11" s="1111"/>
      <c r="FD11" s="1111"/>
      <c r="FE11" s="1111"/>
      <c r="FF11" s="1111"/>
      <c r="FG11" s="1111"/>
      <c r="FH11" s="1111"/>
      <c r="FI11" s="1111"/>
      <c r="FJ11" s="1111"/>
      <c r="FK11" s="1111"/>
      <c r="FL11" s="1111"/>
      <c r="FM11" s="1111"/>
      <c r="FN11" s="1111"/>
      <c r="FO11" s="1111"/>
      <c r="FP11" s="1111"/>
      <c r="FQ11" s="1111"/>
      <c r="FR11" s="1111"/>
      <c r="FS11" s="1111"/>
      <c r="FT11" s="1111"/>
      <c r="FU11" s="1111"/>
      <c r="FV11" s="1111"/>
      <c r="FW11" s="1111"/>
      <c r="FX11" s="1111"/>
      <c r="FY11" s="1111"/>
      <c r="FZ11" s="1111"/>
      <c r="GA11" s="1111"/>
      <c r="GB11" s="1111"/>
      <c r="GC11" s="1111"/>
      <c r="GD11" s="1111"/>
      <c r="GE11" s="1111"/>
      <c r="GF11" s="1111"/>
      <c r="GG11" s="1111"/>
      <c r="GH11" s="1111"/>
      <c r="GI11" s="1111"/>
      <c r="GJ11" s="1111"/>
      <c r="GK11" s="1111"/>
      <c r="GL11" s="1111"/>
      <c r="GM11" s="1111"/>
      <c r="GN11" s="1111"/>
      <c r="GO11" s="1111"/>
      <c r="GP11" s="1111"/>
      <c r="GQ11" s="1111"/>
      <c r="GR11" s="1111"/>
      <c r="GS11" s="1111"/>
      <c r="GT11" s="1111"/>
      <c r="GU11" s="1111"/>
      <c r="GV11" s="1111"/>
      <c r="GW11" s="1111"/>
      <c r="GX11" s="1111"/>
      <c r="GY11" s="1111"/>
      <c r="GZ11" s="1111"/>
      <c r="HA11" s="1111"/>
      <c r="HB11" s="1111"/>
      <c r="HC11" s="1111"/>
      <c r="HD11" s="1111"/>
      <c r="HE11" s="1111"/>
      <c r="HF11" s="1111"/>
      <c r="HG11" s="1111"/>
      <c r="HH11" s="1111"/>
      <c r="HI11" s="1111"/>
      <c r="HJ11" s="1111"/>
      <c r="HK11" s="1111"/>
      <c r="HL11" s="1111"/>
      <c r="HM11" s="1111"/>
      <c r="HN11" s="1111"/>
      <c r="HO11" s="1111"/>
      <c r="HP11" s="1111"/>
      <c r="HQ11" s="1111"/>
      <c r="HR11" s="1111"/>
      <c r="HS11" s="1111"/>
      <c r="HT11" s="1111"/>
      <c r="HU11" s="1111"/>
      <c r="HV11" s="1111"/>
      <c r="HW11" s="1111"/>
      <c r="HX11" s="1111"/>
      <c r="HY11" s="1111"/>
      <c r="HZ11" s="1111"/>
      <c r="IA11" s="1111"/>
      <c r="IB11" s="1111"/>
      <c r="IC11" s="1111"/>
      <c r="ID11" s="1111"/>
      <c r="IE11" s="1111"/>
      <c r="IF11" s="1111"/>
      <c r="IG11" s="1111"/>
      <c r="IH11" s="1111"/>
      <c r="II11" s="1111"/>
      <c r="IJ11" s="1111"/>
      <c r="IK11" s="1111"/>
      <c r="IL11" s="1111"/>
      <c r="IM11" s="1111"/>
      <c r="IN11" s="1111"/>
      <c r="IO11" s="1111"/>
      <c r="IP11" s="1111"/>
      <c r="IQ11" s="1111"/>
      <c r="IR11" s="1111"/>
      <c r="IS11" s="1111"/>
      <c r="IT11" s="1111"/>
      <c r="IU11" s="1111"/>
      <c r="IV11" s="1111"/>
    </row>
    <row r="12" s="1083" customFormat="1" ht="18.6" customHeight="1" spans="1:256">
      <c r="A12" s="1098" t="s">
        <v>111</v>
      </c>
      <c r="B12" s="1099">
        <f>资产负债表!B12/资产负债表!B37</f>
        <v>0</v>
      </c>
      <c r="C12" s="1099">
        <f>资产负债表!C12/资产负债表!C37</f>
        <v>0</v>
      </c>
      <c r="D12" s="1099">
        <f t="shared" si="0"/>
        <v>0</v>
      </c>
      <c r="E12" s="1098" t="s">
        <v>112</v>
      </c>
      <c r="F12" s="1100">
        <f>资产负债表!E12/资产负债表!E37</f>
        <v>0.00300133292504998</v>
      </c>
      <c r="G12" s="1099">
        <f>资产负债表!F12/资产负债表!F37</f>
        <v>0.00130449977450954</v>
      </c>
      <c r="H12" s="1101">
        <f t="shared" si="1"/>
        <v>0.00169683315054044</v>
      </c>
      <c r="I12" s="1111"/>
      <c r="J12" s="1111"/>
      <c r="K12" s="1111"/>
      <c r="L12" s="1111"/>
      <c r="M12" s="1111"/>
      <c r="N12" s="1111"/>
      <c r="O12" s="1111"/>
      <c r="P12" s="1111"/>
      <c r="Q12" s="1111"/>
      <c r="R12" s="1111"/>
      <c r="S12" s="1111"/>
      <c r="T12" s="1111"/>
      <c r="U12" s="1111"/>
      <c r="V12" s="1111"/>
      <c r="W12" s="1111"/>
      <c r="X12" s="1111"/>
      <c r="Y12" s="1111"/>
      <c r="Z12" s="1111"/>
      <c r="AA12" s="1111"/>
      <c r="AB12" s="1111"/>
      <c r="AC12" s="1111"/>
      <c r="AD12" s="1111"/>
      <c r="AE12" s="1111"/>
      <c r="AF12" s="1111"/>
      <c r="AG12" s="1111"/>
      <c r="AH12" s="1111"/>
      <c r="AI12" s="1111"/>
      <c r="AJ12" s="1111"/>
      <c r="AK12" s="1111"/>
      <c r="AL12" s="1111"/>
      <c r="AM12" s="1111"/>
      <c r="AN12" s="1111"/>
      <c r="AO12" s="1111"/>
      <c r="AP12" s="1111"/>
      <c r="AQ12" s="1111"/>
      <c r="AR12" s="1111"/>
      <c r="AS12" s="1111"/>
      <c r="AT12" s="1111"/>
      <c r="AU12" s="1111"/>
      <c r="AV12" s="1111"/>
      <c r="AW12" s="1111"/>
      <c r="AX12" s="1111"/>
      <c r="AY12" s="1111"/>
      <c r="AZ12" s="1111"/>
      <c r="BA12" s="1111"/>
      <c r="BB12" s="1111"/>
      <c r="BC12" s="1111"/>
      <c r="BD12" s="1111"/>
      <c r="BE12" s="1111"/>
      <c r="BF12" s="1111"/>
      <c r="BG12" s="1111"/>
      <c r="BH12" s="1111"/>
      <c r="BI12" s="1111"/>
      <c r="BJ12" s="1111"/>
      <c r="BK12" s="1111"/>
      <c r="BL12" s="1111"/>
      <c r="BM12" s="1111"/>
      <c r="BN12" s="1111"/>
      <c r="BO12" s="1111"/>
      <c r="BP12" s="1111"/>
      <c r="BQ12" s="1111"/>
      <c r="BR12" s="1111"/>
      <c r="BS12" s="1111"/>
      <c r="BT12" s="1111"/>
      <c r="BU12" s="1111"/>
      <c r="BV12" s="1111"/>
      <c r="BW12" s="1111"/>
      <c r="BX12" s="1111"/>
      <c r="BY12" s="1111"/>
      <c r="BZ12" s="1111"/>
      <c r="CA12" s="1111"/>
      <c r="CB12" s="1111"/>
      <c r="CC12" s="1111"/>
      <c r="CD12" s="1111"/>
      <c r="CE12" s="1111"/>
      <c r="CF12" s="1111"/>
      <c r="CG12" s="1111"/>
      <c r="CH12" s="1111"/>
      <c r="CI12" s="1111"/>
      <c r="CJ12" s="1111"/>
      <c r="CK12" s="1111"/>
      <c r="CL12" s="1111"/>
      <c r="CM12" s="1111"/>
      <c r="CN12" s="1111"/>
      <c r="CO12" s="1111"/>
      <c r="CP12" s="1111"/>
      <c r="CQ12" s="1111"/>
      <c r="CR12" s="1111"/>
      <c r="CS12" s="1111"/>
      <c r="CT12" s="1111"/>
      <c r="CU12" s="1111"/>
      <c r="CV12" s="1111"/>
      <c r="CW12" s="1111"/>
      <c r="CX12" s="1111"/>
      <c r="CY12" s="1111"/>
      <c r="CZ12" s="1111"/>
      <c r="DA12" s="1111"/>
      <c r="DB12" s="1111"/>
      <c r="DC12" s="1111"/>
      <c r="DD12" s="1111"/>
      <c r="DE12" s="1111"/>
      <c r="DF12" s="1111"/>
      <c r="DG12" s="1111"/>
      <c r="DH12" s="1111"/>
      <c r="DI12" s="1111"/>
      <c r="DJ12" s="1111"/>
      <c r="DK12" s="1111"/>
      <c r="DL12" s="1111"/>
      <c r="DM12" s="1111"/>
      <c r="DN12" s="1111"/>
      <c r="DO12" s="1111"/>
      <c r="DP12" s="1111"/>
      <c r="DQ12" s="1111"/>
      <c r="DR12" s="1111"/>
      <c r="DS12" s="1111"/>
      <c r="DT12" s="1111"/>
      <c r="DU12" s="1111"/>
      <c r="DV12" s="1111"/>
      <c r="DW12" s="1111"/>
      <c r="DX12" s="1111"/>
      <c r="DY12" s="1111"/>
      <c r="DZ12" s="1111"/>
      <c r="EA12" s="1111"/>
      <c r="EB12" s="1111"/>
      <c r="EC12" s="1111"/>
      <c r="ED12" s="1111"/>
      <c r="EE12" s="1111"/>
      <c r="EF12" s="1111"/>
      <c r="EG12" s="1111"/>
      <c r="EH12" s="1111"/>
      <c r="EI12" s="1111"/>
      <c r="EJ12" s="1111"/>
      <c r="EK12" s="1111"/>
      <c r="EL12" s="1111"/>
      <c r="EM12" s="1111"/>
      <c r="EN12" s="1111"/>
      <c r="EO12" s="1111"/>
      <c r="EP12" s="1111"/>
      <c r="EQ12" s="1111"/>
      <c r="ER12" s="1111"/>
      <c r="ES12" s="1111"/>
      <c r="ET12" s="1111"/>
      <c r="EU12" s="1111"/>
      <c r="EV12" s="1111"/>
      <c r="EW12" s="1111"/>
      <c r="EX12" s="1111"/>
      <c r="EY12" s="1111"/>
      <c r="EZ12" s="1111"/>
      <c r="FA12" s="1111"/>
      <c r="FB12" s="1111"/>
      <c r="FC12" s="1111"/>
      <c r="FD12" s="1111"/>
      <c r="FE12" s="1111"/>
      <c r="FF12" s="1111"/>
      <c r="FG12" s="1111"/>
      <c r="FH12" s="1111"/>
      <c r="FI12" s="1111"/>
      <c r="FJ12" s="1111"/>
      <c r="FK12" s="1111"/>
      <c r="FL12" s="1111"/>
      <c r="FM12" s="1111"/>
      <c r="FN12" s="1111"/>
      <c r="FO12" s="1111"/>
      <c r="FP12" s="1111"/>
      <c r="FQ12" s="1111"/>
      <c r="FR12" s="1111"/>
      <c r="FS12" s="1111"/>
      <c r="FT12" s="1111"/>
      <c r="FU12" s="1111"/>
      <c r="FV12" s="1111"/>
      <c r="FW12" s="1111"/>
      <c r="FX12" s="1111"/>
      <c r="FY12" s="1111"/>
      <c r="FZ12" s="1111"/>
      <c r="GA12" s="1111"/>
      <c r="GB12" s="1111"/>
      <c r="GC12" s="1111"/>
      <c r="GD12" s="1111"/>
      <c r="GE12" s="1111"/>
      <c r="GF12" s="1111"/>
      <c r="GG12" s="1111"/>
      <c r="GH12" s="1111"/>
      <c r="GI12" s="1111"/>
      <c r="GJ12" s="1111"/>
      <c r="GK12" s="1111"/>
      <c r="GL12" s="1111"/>
      <c r="GM12" s="1111"/>
      <c r="GN12" s="1111"/>
      <c r="GO12" s="1111"/>
      <c r="GP12" s="1111"/>
      <c r="GQ12" s="1111"/>
      <c r="GR12" s="1111"/>
      <c r="GS12" s="1111"/>
      <c r="GT12" s="1111"/>
      <c r="GU12" s="1111"/>
      <c r="GV12" s="1111"/>
      <c r="GW12" s="1111"/>
      <c r="GX12" s="1111"/>
      <c r="GY12" s="1111"/>
      <c r="GZ12" s="1111"/>
      <c r="HA12" s="1111"/>
      <c r="HB12" s="1111"/>
      <c r="HC12" s="1111"/>
      <c r="HD12" s="1111"/>
      <c r="HE12" s="1111"/>
      <c r="HF12" s="1111"/>
      <c r="HG12" s="1111"/>
      <c r="HH12" s="1111"/>
      <c r="HI12" s="1111"/>
      <c r="HJ12" s="1111"/>
      <c r="HK12" s="1111"/>
      <c r="HL12" s="1111"/>
      <c r="HM12" s="1111"/>
      <c r="HN12" s="1111"/>
      <c r="HO12" s="1111"/>
      <c r="HP12" s="1111"/>
      <c r="HQ12" s="1111"/>
      <c r="HR12" s="1111"/>
      <c r="HS12" s="1111"/>
      <c r="HT12" s="1111"/>
      <c r="HU12" s="1111"/>
      <c r="HV12" s="1111"/>
      <c r="HW12" s="1111"/>
      <c r="HX12" s="1111"/>
      <c r="HY12" s="1111"/>
      <c r="HZ12" s="1111"/>
      <c r="IA12" s="1111"/>
      <c r="IB12" s="1111"/>
      <c r="IC12" s="1111"/>
      <c r="ID12" s="1111"/>
      <c r="IE12" s="1111"/>
      <c r="IF12" s="1111"/>
      <c r="IG12" s="1111"/>
      <c r="IH12" s="1111"/>
      <c r="II12" s="1111"/>
      <c r="IJ12" s="1111"/>
      <c r="IK12" s="1111"/>
      <c r="IL12" s="1111"/>
      <c r="IM12" s="1111"/>
      <c r="IN12" s="1111"/>
      <c r="IO12" s="1111"/>
      <c r="IP12" s="1111"/>
      <c r="IQ12" s="1111"/>
      <c r="IR12" s="1111"/>
      <c r="IS12" s="1111"/>
      <c r="IT12" s="1111"/>
      <c r="IU12" s="1111"/>
      <c r="IV12" s="1111"/>
    </row>
    <row r="13" s="1083" customFormat="1" ht="18.6" customHeight="1" spans="1:256">
      <c r="A13" s="1098" t="s">
        <v>113</v>
      </c>
      <c r="B13" s="1099">
        <f>资产负债表!B13/资产负债表!B37</f>
        <v>0.000906209987631458</v>
      </c>
      <c r="C13" s="1099">
        <f>资产负债表!C13/资产负债表!C37</f>
        <v>0.00575989595600053</v>
      </c>
      <c r="D13" s="1099">
        <f t="shared" si="0"/>
        <v>-0.00485368596836907</v>
      </c>
      <c r="E13" s="1098" t="s">
        <v>114</v>
      </c>
      <c r="F13" s="1100">
        <f>资产负债表!E13/资产负债表!E37</f>
        <v>0.0150089161878344</v>
      </c>
      <c r="G13" s="1099">
        <f>资产负债表!F13/资产负债表!F37</f>
        <v>0.00384429509145916</v>
      </c>
      <c r="H13" s="1101">
        <f t="shared" si="1"/>
        <v>0.0111646210963752</v>
      </c>
      <c r="I13" s="1111"/>
      <c r="J13" s="1111"/>
      <c r="K13" s="1111"/>
      <c r="L13" s="1111"/>
      <c r="M13" s="1111"/>
      <c r="N13" s="1111"/>
      <c r="O13" s="1111"/>
      <c r="P13" s="1111"/>
      <c r="Q13" s="1111"/>
      <c r="R13" s="1111"/>
      <c r="S13" s="1111"/>
      <c r="T13" s="1111"/>
      <c r="U13" s="1111"/>
      <c r="V13" s="1111"/>
      <c r="W13" s="1111"/>
      <c r="X13" s="1111"/>
      <c r="Y13" s="1111"/>
      <c r="Z13" s="1111"/>
      <c r="AA13" s="1111"/>
      <c r="AB13" s="1111"/>
      <c r="AC13" s="1111"/>
      <c r="AD13" s="1111"/>
      <c r="AE13" s="1111"/>
      <c r="AF13" s="1111"/>
      <c r="AG13" s="1111"/>
      <c r="AH13" s="1111"/>
      <c r="AI13" s="1111"/>
      <c r="AJ13" s="1111"/>
      <c r="AK13" s="1111"/>
      <c r="AL13" s="1111"/>
      <c r="AM13" s="1111"/>
      <c r="AN13" s="1111"/>
      <c r="AO13" s="1111"/>
      <c r="AP13" s="1111"/>
      <c r="AQ13" s="1111"/>
      <c r="AR13" s="1111"/>
      <c r="AS13" s="1111"/>
      <c r="AT13" s="1111"/>
      <c r="AU13" s="1111"/>
      <c r="AV13" s="1111"/>
      <c r="AW13" s="1111"/>
      <c r="AX13" s="1111"/>
      <c r="AY13" s="1111"/>
      <c r="AZ13" s="1111"/>
      <c r="BA13" s="1111"/>
      <c r="BB13" s="1111"/>
      <c r="BC13" s="1111"/>
      <c r="BD13" s="1111"/>
      <c r="BE13" s="1111"/>
      <c r="BF13" s="1111"/>
      <c r="BG13" s="1111"/>
      <c r="BH13" s="1111"/>
      <c r="BI13" s="1111"/>
      <c r="BJ13" s="1111"/>
      <c r="BK13" s="1111"/>
      <c r="BL13" s="1111"/>
      <c r="BM13" s="1111"/>
      <c r="BN13" s="1111"/>
      <c r="BO13" s="1111"/>
      <c r="BP13" s="1111"/>
      <c r="BQ13" s="1111"/>
      <c r="BR13" s="1111"/>
      <c r="BS13" s="1111"/>
      <c r="BT13" s="1111"/>
      <c r="BU13" s="1111"/>
      <c r="BV13" s="1111"/>
      <c r="BW13" s="1111"/>
      <c r="BX13" s="1111"/>
      <c r="BY13" s="1111"/>
      <c r="BZ13" s="1111"/>
      <c r="CA13" s="1111"/>
      <c r="CB13" s="1111"/>
      <c r="CC13" s="1111"/>
      <c r="CD13" s="1111"/>
      <c r="CE13" s="1111"/>
      <c r="CF13" s="1111"/>
      <c r="CG13" s="1111"/>
      <c r="CH13" s="1111"/>
      <c r="CI13" s="1111"/>
      <c r="CJ13" s="1111"/>
      <c r="CK13" s="1111"/>
      <c r="CL13" s="1111"/>
      <c r="CM13" s="1111"/>
      <c r="CN13" s="1111"/>
      <c r="CO13" s="1111"/>
      <c r="CP13" s="1111"/>
      <c r="CQ13" s="1111"/>
      <c r="CR13" s="1111"/>
      <c r="CS13" s="1111"/>
      <c r="CT13" s="1111"/>
      <c r="CU13" s="1111"/>
      <c r="CV13" s="1111"/>
      <c r="CW13" s="1111"/>
      <c r="CX13" s="1111"/>
      <c r="CY13" s="1111"/>
      <c r="CZ13" s="1111"/>
      <c r="DA13" s="1111"/>
      <c r="DB13" s="1111"/>
      <c r="DC13" s="1111"/>
      <c r="DD13" s="1111"/>
      <c r="DE13" s="1111"/>
      <c r="DF13" s="1111"/>
      <c r="DG13" s="1111"/>
      <c r="DH13" s="1111"/>
      <c r="DI13" s="1111"/>
      <c r="DJ13" s="1111"/>
      <c r="DK13" s="1111"/>
      <c r="DL13" s="1111"/>
      <c r="DM13" s="1111"/>
      <c r="DN13" s="1111"/>
      <c r="DO13" s="1111"/>
      <c r="DP13" s="1111"/>
      <c r="DQ13" s="1111"/>
      <c r="DR13" s="1111"/>
      <c r="DS13" s="1111"/>
      <c r="DT13" s="1111"/>
      <c r="DU13" s="1111"/>
      <c r="DV13" s="1111"/>
      <c r="DW13" s="1111"/>
      <c r="DX13" s="1111"/>
      <c r="DY13" s="1111"/>
      <c r="DZ13" s="1111"/>
      <c r="EA13" s="1111"/>
      <c r="EB13" s="1111"/>
      <c r="EC13" s="1111"/>
      <c r="ED13" s="1111"/>
      <c r="EE13" s="1111"/>
      <c r="EF13" s="1111"/>
      <c r="EG13" s="1111"/>
      <c r="EH13" s="1111"/>
      <c r="EI13" s="1111"/>
      <c r="EJ13" s="1111"/>
      <c r="EK13" s="1111"/>
      <c r="EL13" s="1111"/>
      <c r="EM13" s="1111"/>
      <c r="EN13" s="1111"/>
      <c r="EO13" s="1111"/>
      <c r="EP13" s="1111"/>
      <c r="EQ13" s="1111"/>
      <c r="ER13" s="1111"/>
      <c r="ES13" s="1111"/>
      <c r="ET13" s="1111"/>
      <c r="EU13" s="1111"/>
      <c r="EV13" s="1111"/>
      <c r="EW13" s="1111"/>
      <c r="EX13" s="1111"/>
      <c r="EY13" s="1111"/>
      <c r="EZ13" s="1111"/>
      <c r="FA13" s="1111"/>
      <c r="FB13" s="1111"/>
      <c r="FC13" s="1111"/>
      <c r="FD13" s="1111"/>
      <c r="FE13" s="1111"/>
      <c r="FF13" s="1111"/>
      <c r="FG13" s="1111"/>
      <c r="FH13" s="1111"/>
      <c r="FI13" s="1111"/>
      <c r="FJ13" s="1111"/>
      <c r="FK13" s="1111"/>
      <c r="FL13" s="1111"/>
      <c r="FM13" s="1111"/>
      <c r="FN13" s="1111"/>
      <c r="FO13" s="1111"/>
      <c r="FP13" s="1111"/>
      <c r="FQ13" s="1111"/>
      <c r="FR13" s="1111"/>
      <c r="FS13" s="1111"/>
      <c r="FT13" s="1111"/>
      <c r="FU13" s="1111"/>
      <c r="FV13" s="1111"/>
      <c r="FW13" s="1111"/>
      <c r="FX13" s="1111"/>
      <c r="FY13" s="1111"/>
      <c r="FZ13" s="1111"/>
      <c r="GA13" s="1111"/>
      <c r="GB13" s="1111"/>
      <c r="GC13" s="1111"/>
      <c r="GD13" s="1111"/>
      <c r="GE13" s="1111"/>
      <c r="GF13" s="1111"/>
      <c r="GG13" s="1111"/>
      <c r="GH13" s="1111"/>
      <c r="GI13" s="1111"/>
      <c r="GJ13" s="1111"/>
      <c r="GK13" s="1111"/>
      <c r="GL13" s="1111"/>
      <c r="GM13" s="1111"/>
      <c r="GN13" s="1111"/>
      <c r="GO13" s="1111"/>
      <c r="GP13" s="1111"/>
      <c r="GQ13" s="1111"/>
      <c r="GR13" s="1111"/>
      <c r="GS13" s="1111"/>
      <c r="GT13" s="1111"/>
      <c r="GU13" s="1111"/>
      <c r="GV13" s="1111"/>
      <c r="GW13" s="1111"/>
      <c r="GX13" s="1111"/>
      <c r="GY13" s="1111"/>
      <c r="GZ13" s="1111"/>
      <c r="HA13" s="1111"/>
      <c r="HB13" s="1111"/>
      <c r="HC13" s="1111"/>
      <c r="HD13" s="1111"/>
      <c r="HE13" s="1111"/>
      <c r="HF13" s="1111"/>
      <c r="HG13" s="1111"/>
      <c r="HH13" s="1111"/>
      <c r="HI13" s="1111"/>
      <c r="HJ13" s="1111"/>
      <c r="HK13" s="1111"/>
      <c r="HL13" s="1111"/>
      <c r="HM13" s="1111"/>
      <c r="HN13" s="1111"/>
      <c r="HO13" s="1111"/>
      <c r="HP13" s="1111"/>
      <c r="HQ13" s="1111"/>
      <c r="HR13" s="1111"/>
      <c r="HS13" s="1111"/>
      <c r="HT13" s="1111"/>
      <c r="HU13" s="1111"/>
      <c r="HV13" s="1111"/>
      <c r="HW13" s="1111"/>
      <c r="HX13" s="1111"/>
      <c r="HY13" s="1111"/>
      <c r="HZ13" s="1111"/>
      <c r="IA13" s="1111"/>
      <c r="IB13" s="1111"/>
      <c r="IC13" s="1111"/>
      <c r="ID13" s="1111"/>
      <c r="IE13" s="1111"/>
      <c r="IF13" s="1111"/>
      <c r="IG13" s="1111"/>
      <c r="IH13" s="1111"/>
      <c r="II13" s="1111"/>
      <c r="IJ13" s="1111"/>
      <c r="IK13" s="1111"/>
      <c r="IL13" s="1111"/>
      <c r="IM13" s="1111"/>
      <c r="IN13" s="1111"/>
      <c r="IO13" s="1111"/>
      <c r="IP13" s="1111"/>
      <c r="IQ13" s="1111"/>
      <c r="IR13" s="1111"/>
      <c r="IS13" s="1111"/>
      <c r="IT13" s="1111"/>
      <c r="IU13" s="1111"/>
      <c r="IV13" s="1111"/>
    </row>
    <row r="14" s="1083" customFormat="1" ht="18.6" customHeight="1" spans="1:256">
      <c r="A14" s="1098" t="s">
        <v>115</v>
      </c>
      <c r="B14" s="1099">
        <f>资产负债表!B14/资产负债表!B37</f>
        <v>0.00864437244958357</v>
      </c>
      <c r="C14" s="1099">
        <f>资产负债表!C14/资产负债表!C37</f>
        <v>0.00493705367657188</v>
      </c>
      <c r="D14" s="1099">
        <f t="shared" si="0"/>
        <v>0.00370731877301169</v>
      </c>
      <c r="E14" s="1098" t="s">
        <v>116</v>
      </c>
      <c r="F14" s="1100">
        <f>资产负债表!E14/资产负债表!E37</f>
        <v>0.00295630167336131</v>
      </c>
      <c r="G14" s="1099">
        <f>资产负债表!F14/资产负债表!F37</f>
        <v>0.00151441927845361</v>
      </c>
      <c r="H14" s="1101">
        <f t="shared" si="1"/>
        <v>0.0014418823949077</v>
      </c>
      <c r="I14" s="1111"/>
      <c r="J14" s="1111"/>
      <c r="K14" s="1111"/>
      <c r="L14" s="1111"/>
      <c r="M14" s="1111"/>
      <c r="N14" s="1111"/>
      <c r="O14" s="1111"/>
      <c r="P14" s="1111"/>
      <c r="Q14" s="1111"/>
      <c r="R14" s="1111"/>
      <c r="S14" s="1111"/>
      <c r="T14" s="1111"/>
      <c r="U14" s="1111"/>
      <c r="V14" s="1111"/>
      <c r="W14" s="1111"/>
      <c r="X14" s="1111"/>
      <c r="Y14" s="1111"/>
      <c r="Z14" s="1111"/>
      <c r="AA14" s="1111"/>
      <c r="AB14" s="1111"/>
      <c r="AC14" s="1111"/>
      <c r="AD14" s="1111"/>
      <c r="AE14" s="1111"/>
      <c r="AF14" s="1111"/>
      <c r="AG14" s="1111"/>
      <c r="AH14" s="1111"/>
      <c r="AI14" s="1111"/>
      <c r="AJ14" s="1111"/>
      <c r="AK14" s="1111"/>
      <c r="AL14" s="1111"/>
      <c r="AM14" s="1111"/>
      <c r="AN14" s="1111"/>
      <c r="AO14" s="1111"/>
      <c r="AP14" s="1111"/>
      <c r="AQ14" s="1111"/>
      <c r="AR14" s="1111"/>
      <c r="AS14" s="1111"/>
      <c r="AT14" s="1111"/>
      <c r="AU14" s="1111"/>
      <c r="AV14" s="1111"/>
      <c r="AW14" s="1111"/>
      <c r="AX14" s="1111"/>
      <c r="AY14" s="1111"/>
      <c r="AZ14" s="1111"/>
      <c r="BA14" s="1111"/>
      <c r="BB14" s="1111"/>
      <c r="BC14" s="1111"/>
      <c r="BD14" s="1111"/>
      <c r="BE14" s="1111"/>
      <c r="BF14" s="1111"/>
      <c r="BG14" s="1111"/>
      <c r="BH14" s="1111"/>
      <c r="BI14" s="1111"/>
      <c r="BJ14" s="1111"/>
      <c r="BK14" s="1111"/>
      <c r="BL14" s="1111"/>
      <c r="BM14" s="1111"/>
      <c r="BN14" s="1111"/>
      <c r="BO14" s="1111"/>
      <c r="BP14" s="1111"/>
      <c r="BQ14" s="1111"/>
      <c r="BR14" s="1111"/>
      <c r="BS14" s="1111"/>
      <c r="BT14" s="1111"/>
      <c r="BU14" s="1111"/>
      <c r="BV14" s="1111"/>
      <c r="BW14" s="1111"/>
      <c r="BX14" s="1111"/>
      <c r="BY14" s="1111"/>
      <c r="BZ14" s="1111"/>
      <c r="CA14" s="1111"/>
      <c r="CB14" s="1111"/>
      <c r="CC14" s="1111"/>
      <c r="CD14" s="1111"/>
      <c r="CE14" s="1111"/>
      <c r="CF14" s="1111"/>
      <c r="CG14" s="1111"/>
      <c r="CH14" s="1111"/>
      <c r="CI14" s="1111"/>
      <c r="CJ14" s="1111"/>
      <c r="CK14" s="1111"/>
      <c r="CL14" s="1111"/>
      <c r="CM14" s="1111"/>
      <c r="CN14" s="1111"/>
      <c r="CO14" s="1111"/>
      <c r="CP14" s="1111"/>
      <c r="CQ14" s="1111"/>
      <c r="CR14" s="1111"/>
      <c r="CS14" s="1111"/>
      <c r="CT14" s="1111"/>
      <c r="CU14" s="1111"/>
      <c r="CV14" s="1111"/>
      <c r="CW14" s="1111"/>
      <c r="CX14" s="1111"/>
      <c r="CY14" s="1111"/>
      <c r="CZ14" s="1111"/>
      <c r="DA14" s="1111"/>
      <c r="DB14" s="1111"/>
      <c r="DC14" s="1111"/>
      <c r="DD14" s="1111"/>
      <c r="DE14" s="1111"/>
      <c r="DF14" s="1111"/>
      <c r="DG14" s="1111"/>
      <c r="DH14" s="1111"/>
      <c r="DI14" s="1111"/>
      <c r="DJ14" s="1111"/>
      <c r="DK14" s="1111"/>
      <c r="DL14" s="1111"/>
      <c r="DM14" s="1111"/>
      <c r="DN14" s="1111"/>
      <c r="DO14" s="1111"/>
      <c r="DP14" s="1111"/>
      <c r="DQ14" s="1111"/>
      <c r="DR14" s="1111"/>
      <c r="DS14" s="1111"/>
      <c r="DT14" s="1111"/>
      <c r="DU14" s="1111"/>
      <c r="DV14" s="1111"/>
      <c r="DW14" s="1111"/>
      <c r="DX14" s="1111"/>
      <c r="DY14" s="1111"/>
      <c r="DZ14" s="1111"/>
      <c r="EA14" s="1111"/>
      <c r="EB14" s="1111"/>
      <c r="EC14" s="1111"/>
      <c r="ED14" s="1111"/>
      <c r="EE14" s="1111"/>
      <c r="EF14" s="1111"/>
      <c r="EG14" s="1111"/>
      <c r="EH14" s="1111"/>
      <c r="EI14" s="1111"/>
      <c r="EJ14" s="1111"/>
      <c r="EK14" s="1111"/>
      <c r="EL14" s="1111"/>
      <c r="EM14" s="1111"/>
      <c r="EN14" s="1111"/>
      <c r="EO14" s="1111"/>
      <c r="EP14" s="1111"/>
      <c r="EQ14" s="1111"/>
      <c r="ER14" s="1111"/>
      <c r="ES14" s="1111"/>
      <c r="ET14" s="1111"/>
      <c r="EU14" s="1111"/>
      <c r="EV14" s="1111"/>
      <c r="EW14" s="1111"/>
      <c r="EX14" s="1111"/>
      <c r="EY14" s="1111"/>
      <c r="EZ14" s="1111"/>
      <c r="FA14" s="1111"/>
      <c r="FB14" s="1111"/>
      <c r="FC14" s="1111"/>
      <c r="FD14" s="1111"/>
      <c r="FE14" s="1111"/>
      <c r="FF14" s="1111"/>
      <c r="FG14" s="1111"/>
      <c r="FH14" s="1111"/>
      <c r="FI14" s="1111"/>
      <c r="FJ14" s="1111"/>
      <c r="FK14" s="1111"/>
      <c r="FL14" s="1111"/>
      <c r="FM14" s="1111"/>
      <c r="FN14" s="1111"/>
      <c r="FO14" s="1111"/>
      <c r="FP14" s="1111"/>
      <c r="FQ14" s="1111"/>
      <c r="FR14" s="1111"/>
      <c r="FS14" s="1111"/>
      <c r="FT14" s="1111"/>
      <c r="FU14" s="1111"/>
      <c r="FV14" s="1111"/>
      <c r="FW14" s="1111"/>
      <c r="FX14" s="1111"/>
      <c r="FY14" s="1111"/>
      <c r="FZ14" s="1111"/>
      <c r="GA14" s="1111"/>
      <c r="GB14" s="1111"/>
      <c r="GC14" s="1111"/>
      <c r="GD14" s="1111"/>
      <c r="GE14" s="1111"/>
      <c r="GF14" s="1111"/>
      <c r="GG14" s="1111"/>
      <c r="GH14" s="1111"/>
      <c r="GI14" s="1111"/>
      <c r="GJ14" s="1111"/>
      <c r="GK14" s="1111"/>
      <c r="GL14" s="1111"/>
      <c r="GM14" s="1111"/>
      <c r="GN14" s="1111"/>
      <c r="GO14" s="1111"/>
      <c r="GP14" s="1111"/>
      <c r="GQ14" s="1111"/>
      <c r="GR14" s="1111"/>
      <c r="GS14" s="1111"/>
      <c r="GT14" s="1111"/>
      <c r="GU14" s="1111"/>
      <c r="GV14" s="1111"/>
      <c r="GW14" s="1111"/>
      <c r="GX14" s="1111"/>
      <c r="GY14" s="1111"/>
      <c r="GZ14" s="1111"/>
      <c r="HA14" s="1111"/>
      <c r="HB14" s="1111"/>
      <c r="HC14" s="1111"/>
      <c r="HD14" s="1111"/>
      <c r="HE14" s="1111"/>
      <c r="HF14" s="1111"/>
      <c r="HG14" s="1111"/>
      <c r="HH14" s="1111"/>
      <c r="HI14" s="1111"/>
      <c r="HJ14" s="1111"/>
      <c r="HK14" s="1111"/>
      <c r="HL14" s="1111"/>
      <c r="HM14" s="1111"/>
      <c r="HN14" s="1111"/>
      <c r="HO14" s="1111"/>
      <c r="HP14" s="1111"/>
      <c r="HQ14" s="1111"/>
      <c r="HR14" s="1111"/>
      <c r="HS14" s="1111"/>
      <c r="HT14" s="1111"/>
      <c r="HU14" s="1111"/>
      <c r="HV14" s="1111"/>
      <c r="HW14" s="1111"/>
      <c r="HX14" s="1111"/>
      <c r="HY14" s="1111"/>
      <c r="HZ14" s="1111"/>
      <c r="IA14" s="1111"/>
      <c r="IB14" s="1111"/>
      <c r="IC14" s="1111"/>
      <c r="ID14" s="1111"/>
      <c r="IE14" s="1111"/>
      <c r="IF14" s="1111"/>
      <c r="IG14" s="1111"/>
      <c r="IH14" s="1111"/>
      <c r="II14" s="1111"/>
      <c r="IJ14" s="1111"/>
      <c r="IK14" s="1111"/>
      <c r="IL14" s="1111"/>
      <c r="IM14" s="1111"/>
      <c r="IN14" s="1111"/>
      <c r="IO14" s="1111"/>
      <c r="IP14" s="1111"/>
      <c r="IQ14" s="1111"/>
      <c r="IR14" s="1111"/>
      <c r="IS14" s="1111"/>
      <c r="IT14" s="1111"/>
      <c r="IU14" s="1111"/>
      <c r="IV14" s="1111"/>
    </row>
    <row r="15" s="1083" customFormat="1" ht="18.6" customHeight="1" spans="1:256">
      <c r="A15" s="1098" t="s">
        <v>117</v>
      </c>
      <c r="B15" s="1099">
        <f>资产负债表!B15/资产负债表!B37</f>
        <v>0</v>
      </c>
      <c r="C15" s="1099">
        <f>资产负债表!C15/资产负债表!C37</f>
        <v>0</v>
      </c>
      <c r="D15" s="1099">
        <f t="shared" si="0"/>
        <v>0</v>
      </c>
      <c r="E15" s="1098" t="s">
        <v>118</v>
      </c>
      <c r="F15" s="1100">
        <f>资产负债表!E15/资产负债表!E37</f>
        <v>0.00295630167336131</v>
      </c>
      <c r="G15" s="1099">
        <f>资产负债表!F15/资产负债表!F37</f>
        <v>0.0153783337697045</v>
      </c>
      <c r="H15" s="1101">
        <f t="shared" si="1"/>
        <v>-0.0124220320963431</v>
      </c>
      <c r="I15" s="1111"/>
      <c r="J15" s="1111"/>
      <c r="K15" s="1111"/>
      <c r="L15" s="1111"/>
      <c r="M15" s="1111"/>
      <c r="N15" s="1111"/>
      <c r="O15" s="1111"/>
      <c r="P15" s="1111"/>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c r="AL15" s="1111"/>
      <c r="AM15" s="1111"/>
      <c r="AN15" s="1111"/>
      <c r="AO15" s="1111"/>
      <c r="AP15" s="1111"/>
      <c r="AQ15" s="1111"/>
      <c r="AR15" s="1111"/>
      <c r="AS15" s="1111"/>
      <c r="AT15" s="1111"/>
      <c r="AU15" s="1111"/>
      <c r="AV15" s="1111"/>
      <c r="AW15" s="1111"/>
      <c r="AX15" s="1111"/>
      <c r="AY15" s="1111"/>
      <c r="AZ15" s="1111"/>
      <c r="BA15" s="1111"/>
      <c r="BB15" s="1111"/>
      <c r="BC15" s="1111"/>
      <c r="BD15" s="1111"/>
      <c r="BE15" s="1111"/>
      <c r="BF15" s="1111"/>
      <c r="BG15" s="1111"/>
      <c r="BH15" s="1111"/>
      <c r="BI15" s="1111"/>
      <c r="BJ15" s="1111"/>
      <c r="BK15" s="1111"/>
      <c r="BL15" s="1111"/>
      <c r="BM15" s="1111"/>
      <c r="BN15" s="1111"/>
      <c r="BO15" s="1111"/>
      <c r="BP15" s="1111"/>
      <c r="BQ15" s="1111"/>
      <c r="BR15" s="1111"/>
      <c r="BS15" s="1111"/>
      <c r="BT15" s="1111"/>
      <c r="BU15" s="1111"/>
      <c r="BV15" s="1111"/>
      <c r="BW15" s="1111"/>
      <c r="BX15" s="1111"/>
      <c r="BY15" s="1111"/>
      <c r="BZ15" s="1111"/>
      <c r="CA15" s="1111"/>
      <c r="CB15" s="1111"/>
      <c r="CC15" s="1111"/>
      <c r="CD15" s="1111"/>
      <c r="CE15" s="1111"/>
      <c r="CF15" s="1111"/>
      <c r="CG15" s="1111"/>
      <c r="CH15" s="1111"/>
      <c r="CI15" s="1111"/>
      <c r="CJ15" s="1111"/>
      <c r="CK15" s="1111"/>
      <c r="CL15" s="1111"/>
      <c r="CM15" s="1111"/>
      <c r="CN15" s="1111"/>
      <c r="CO15" s="1111"/>
      <c r="CP15" s="1111"/>
      <c r="CQ15" s="1111"/>
      <c r="CR15" s="1111"/>
      <c r="CS15" s="1111"/>
      <c r="CT15" s="1111"/>
      <c r="CU15" s="1111"/>
      <c r="CV15" s="1111"/>
      <c r="CW15" s="1111"/>
      <c r="CX15" s="1111"/>
      <c r="CY15" s="1111"/>
      <c r="CZ15" s="1111"/>
      <c r="DA15" s="1111"/>
      <c r="DB15" s="1111"/>
      <c r="DC15" s="1111"/>
      <c r="DD15" s="1111"/>
      <c r="DE15" s="1111"/>
      <c r="DF15" s="1111"/>
      <c r="DG15" s="1111"/>
      <c r="DH15" s="1111"/>
      <c r="DI15" s="1111"/>
      <c r="DJ15" s="1111"/>
      <c r="DK15" s="1111"/>
      <c r="DL15" s="1111"/>
      <c r="DM15" s="1111"/>
      <c r="DN15" s="1111"/>
      <c r="DO15" s="1111"/>
      <c r="DP15" s="1111"/>
      <c r="DQ15" s="1111"/>
      <c r="DR15" s="1111"/>
      <c r="DS15" s="1111"/>
      <c r="DT15" s="1111"/>
      <c r="DU15" s="1111"/>
      <c r="DV15" s="1111"/>
      <c r="DW15" s="1111"/>
      <c r="DX15" s="1111"/>
      <c r="DY15" s="1111"/>
      <c r="DZ15" s="1111"/>
      <c r="EA15" s="1111"/>
      <c r="EB15" s="1111"/>
      <c r="EC15" s="1111"/>
      <c r="ED15" s="1111"/>
      <c r="EE15" s="1111"/>
      <c r="EF15" s="1111"/>
      <c r="EG15" s="1111"/>
      <c r="EH15" s="1111"/>
      <c r="EI15" s="1111"/>
      <c r="EJ15" s="1111"/>
      <c r="EK15" s="1111"/>
      <c r="EL15" s="1111"/>
      <c r="EM15" s="1111"/>
      <c r="EN15" s="1111"/>
      <c r="EO15" s="1111"/>
      <c r="EP15" s="1111"/>
      <c r="EQ15" s="1111"/>
      <c r="ER15" s="1111"/>
      <c r="ES15" s="1111"/>
      <c r="ET15" s="1111"/>
      <c r="EU15" s="1111"/>
      <c r="EV15" s="1111"/>
      <c r="EW15" s="1111"/>
      <c r="EX15" s="1111"/>
      <c r="EY15" s="1111"/>
      <c r="EZ15" s="1111"/>
      <c r="FA15" s="1111"/>
      <c r="FB15" s="1111"/>
      <c r="FC15" s="1111"/>
      <c r="FD15" s="1111"/>
      <c r="FE15" s="1111"/>
      <c r="FF15" s="1111"/>
      <c r="FG15" s="1111"/>
      <c r="FH15" s="1111"/>
      <c r="FI15" s="1111"/>
      <c r="FJ15" s="1111"/>
      <c r="FK15" s="1111"/>
      <c r="FL15" s="1111"/>
      <c r="FM15" s="1111"/>
      <c r="FN15" s="1111"/>
      <c r="FO15" s="1111"/>
      <c r="FP15" s="1111"/>
      <c r="FQ15" s="1111"/>
      <c r="FR15" s="1111"/>
      <c r="FS15" s="1111"/>
      <c r="FT15" s="1111"/>
      <c r="FU15" s="1111"/>
      <c r="FV15" s="1111"/>
      <c r="FW15" s="1111"/>
      <c r="FX15" s="1111"/>
      <c r="FY15" s="1111"/>
      <c r="FZ15" s="1111"/>
      <c r="GA15" s="1111"/>
      <c r="GB15" s="1111"/>
      <c r="GC15" s="1111"/>
      <c r="GD15" s="1111"/>
      <c r="GE15" s="1111"/>
      <c r="GF15" s="1111"/>
      <c r="GG15" s="1111"/>
      <c r="GH15" s="1111"/>
      <c r="GI15" s="1111"/>
      <c r="GJ15" s="1111"/>
      <c r="GK15" s="1111"/>
      <c r="GL15" s="1111"/>
      <c r="GM15" s="1111"/>
      <c r="GN15" s="1111"/>
      <c r="GO15" s="1111"/>
      <c r="GP15" s="1111"/>
      <c r="GQ15" s="1111"/>
      <c r="GR15" s="1111"/>
      <c r="GS15" s="1111"/>
      <c r="GT15" s="1111"/>
      <c r="GU15" s="1111"/>
      <c r="GV15" s="1111"/>
      <c r="GW15" s="1111"/>
      <c r="GX15" s="1111"/>
      <c r="GY15" s="1111"/>
      <c r="GZ15" s="1111"/>
      <c r="HA15" s="1111"/>
      <c r="HB15" s="1111"/>
      <c r="HC15" s="1111"/>
      <c r="HD15" s="1111"/>
      <c r="HE15" s="1111"/>
      <c r="HF15" s="1111"/>
      <c r="HG15" s="1111"/>
      <c r="HH15" s="1111"/>
      <c r="HI15" s="1111"/>
      <c r="HJ15" s="1111"/>
      <c r="HK15" s="1111"/>
      <c r="HL15" s="1111"/>
      <c r="HM15" s="1111"/>
      <c r="HN15" s="1111"/>
      <c r="HO15" s="1111"/>
      <c r="HP15" s="1111"/>
      <c r="HQ15" s="1111"/>
      <c r="HR15" s="1111"/>
      <c r="HS15" s="1111"/>
      <c r="HT15" s="1111"/>
      <c r="HU15" s="1111"/>
      <c r="HV15" s="1111"/>
      <c r="HW15" s="1111"/>
      <c r="HX15" s="1111"/>
      <c r="HY15" s="1111"/>
      <c r="HZ15" s="1111"/>
      <c r="IA15" s="1111"/>
      <c r="IB15" s="1111"/>
      <c r="IC15" s="1111"/>
      <c r="ID15" s="1111"/>
      <c r="IE15" s="1111"/>
      <c r="IF15" s="1111"/>
      <c r="IG15" s="1111"/>
      <c r="IH15" s="1111"/>
      <c r="II15" s="1111"/>
      <c r="IJ15" s="1111"/>
      <c r="IK15" s="1111"/>
      <c r="IL15" s="1111"/>
      <c r="IM15" s="1111"/>
      <c r="IN15" s="1111"/>
      <c r="IO15" s="1111"/>
      <c r="IP15" s="1111"/>
      <c r="IQ15" s="1111"/>
      <c r="IR15" s="1111"/>
      <c r="IS15" s="1111"/>
      <c r="IT15" s="1111"/>
      <c r="IU15" s="1111"/>
      <c r="IV15" s="1111"/>
    </row>
    <row r="16" s="1083" customFormat="1" ht="18.6" customHeight="1" spans="1:256">
      <c r="A16" s="1098" t="s">
        <v>119</v>
      </c>
      <c r="B16" s="1099">
        <f>资产负债表!B16/资产负债表!B37</f>
        <v>0.000453104993815729</v>
      </c>
      <c r="C16" s="1099">
        <f>资产负债表!C16/资产负债表!C37</f>
        <v>0.00493705367657188</v>
      </c>
      <c r="D16" s="1099">
        <f t="shared" si="0"/>
        <v>-0.00448394868275615</v>
      </c>
      <c r="E16" s="1098" t="s">
        <v>120</v>
      </c>
      <c r="F16" s="1100">
        <f>资产负债表!E16/资产负债表!E37</f>
        <v>0</v>
      </c>
      <c r="G16" s="1099">
        <f>资产负债表!F16/资产负债表!F37</f>
        <v>0</v>
      </c>
      <c r="H16" s="1101">
        <f t="shared" si="1"/>
        <v>0</v>
      </c>
      <c r="I16" s="1111"/>
      <c r="J16" s="1111"/>
      <c r="K16" s="1111"/>
      <c r="L16" s="1111"/>
      <c r="M16" s="1111"/>
      <c r="N16" s="1111"/>
      <c r="O16" s="1111"/>
      <c r="P16" s="1111"/>
      <c r="Q16" s="1111"/>
      <c r="R16" s="1111"/>
      <c r="S16" s="1111"/>
      <c r="T16" s="1111"/>
      <c r="U16" s="1111"/>
      <c r="V16" s="1111"/>
      <c r="W16" s="1111"/>
      <c r="X16" s="1111"/>
      <c r="Y16" s="1111"/>
      <c r="Z16" s="1111"/>
      <c r="AA16" s="1111"/>
      <c r="AB16" s="1111"/>
      <c r="AC16" s="1111"/>
      <c r="AD16" s="1111"/>
      <c r="AE16" s="1111"/>
      <c r="AF16" s="1111"/>
      <c r="AG16" s="1111"/>
      <c r="AH16" s="1111"/>
      <c r="AI16" s="1111"/>
      <c r="AJ16" s="1111"/>
      <c r="AK16" s="1111"/>
      <c r="AL16" s="1111"/>
      <c r="AM16" s="1111"/>
      <c r="AN16" s="1111"/>
      <c r="AO16" s="1111"/>
      <c r="AP16" s="1111"/>
      <c r="AQ16" s="1111"/>
      <c r="AR16" s="1111"/>
      <c r="AS16" s="1111"/>
      <c r="AT16" s="1111"/>
      <c r="AU16" s="1111"/>
      <c r="AV16" s="1111"/>
      <c r="AW16" s="1111"/>
      <c r="AX16" s="1111"/>
      <c r="AY16" s="1111"/>
      <c r="AZ16" s="1111"/>
      <c r="BA16" s="1111"/>
      <c r="BB16" s="1111"/>
      <c r="BC16" s="1111"/>
      <c r="BD16" s="1111"/>
      <c r="BE16" s="1111"/>
      <c r="BF16" s="1111"/>
      <c r="BG16" s="1111"/>
      <c r="BH16" s="1111"/>
      <c r="BI16" s="1111"/>
      <c r="BJ16" s="1111"/>
      <c r="BK16" s="1111"/>
      <c r="BL16" s="1111"/>
      <c r="BM16" s="1111"/>
      <c r="BN16" s="1111"/>
      <c r="BO16" s="1111"/>
      <c r="BP16" s="1111"/>
      <c r="BQ16" s="1111"/>
      <c r="BR16" s="1111"/>
      <c r="BS16" s="1111"/>
      <c r="BT16" s="1111"/>
      <c r="BU16" s="1111"/>
      <c r="BV16" s="1111"/>
      <c r="BW16" s="1111"/>
      <c r="BX16" s="1111"/>
      <c r="BY16" s="1111"/>
      <c r="BZ16" s="1111"/>
      <c r="CA16" s="1111"/>
      <c r="CB16" s="1111"/>
      <c r="CC16" s="1111"/>
      <c r="CD16" s="1111"/>
      <c r="CE16" s="1111"/>
      <c r="CF16" s="1111"/>
      <c r="CG16" s="1111"/>
      <c r="CH16" s="1111"/>
      <c r="CI16" s="1111"/>
      <c r="CJ16" s="1111"/>
      <c r="CK16" s="1111"/>
      <c r="CL16" s="1111"/>
      <c r="CM16" s="1111"/>
      <c r="CN16" s="1111"/>
      <c r="CO16" s="1111"/>
      <c r="CP16" s="1111"/>
      <c r="CQ16" s="1111"/>
      <c r="CR16" s="1111"/>
      <c r="CS16" s="1111"/>
      <c r="CT16" s="1111"/>
      <c r="CU16" s="1111"/>
      <c r="CV16" s="1111"/>
      <c r="CW16" s="1111"/>
      <c r="CX16" s="1111"/>
      <c r="CY16" s="1111"/>
      <c r="CZ16" s="1111"/>
      <c r="DA16" s="1111"/>
      <c r="DB16" s="1111"/>
      <c r="DC16" s="1111"/>
      <c r="DD16" s="1111"/>
      <c r="DE16" s="1111"/>
      <c r="DF16" s="1111"/>
      <c r="DG16" s="1111"/>
      <c r="DH16" s="1111"/>
      <c r="DI16" s="1111"/>
      <c r="DJ16" s="1111"/>
      <c r="DK16" s="1111"/>
      <c r="DL16" s="1111"/>
      <c r="DM16" s="1111"/>
      <c r="DN16" s="1111"/>
      <c r="DO16" s="1111"/>
      <c r="DP16" s="1111"/>
      <c r="DQ16" s="1111"/>
      <c r="DR16" s="1111"/>
      <c r="DS16" s="1111"/>
      <c r="DT16" s="1111"/>
      <c r="DU16" s="1111"/>
      <c r="DV16" s="1111"/>
      <c r="DW16" s="1111"/>
      <c r="DX16" s="1111"/>
      <c r="DY16" s="1111"/>
      <c r="DZ16" s="1111"/>
      <c r="EA16" s="1111"/>
      <c r="EB16" s="1111"/>
      <c r="EC16" s="1111"/>
      <c r="ED16" s="1111"/>
      <c r="EE16" s="1111"/>
      <c r="EF16" s="1111"/>
      <c r="EG16" s="1111"/>
      <c r="EH16" s="1111"/>
      <c r="EI16" s="1111"/>
      <c r="EJ16" s="1111"/>
      <c r="EK16" s="1111"/>
      <c r="EL16" s="1111"/>
      <c r="EM16" s="1111"/>
      <c r="EN16" s="1111"/>
      <c r="EO16" s="1111"/>
      <c r="EP16" s="1111"/>
      <c r="EQ16" s="1111"/>
      <c r="ER16" s="1111"/>
      <c r="ES16" s="1111"/>
      <c r="ET16" s="1111"/>
      <c r="EU16" s="1111"/>
      <c r="EV16" s="1111"/>
      <c r="EW16" s="1111"/>
      <c r="EX16" s="1111"/>
      <c r="EY16" s="1111"/>
      <c r="EZ16" s="1111"/>
      <c r="FA16" s="1111"/>
      <c r="FB16" s="1111"/>
      <c r="FC16" s="1111"/>
      <c r="FD16" s="1111"/>
      <c r="FE16" s="1111"/>
      <c r="FF16" s="1111"/>
      <c r="FG16" s="1111"/>
      <c r="FH16" s="1111"/>
      <c r="FI16" s="1111"/>
      <c r="FJ16" s="1111"/>
      <c r="FK16" s="1111"/>
      <c r="FL16" s="1111"/>
      <c r="FM16" s="1111"/>
      <c r="FN16" s="1111"/>
      <c r="FO16" s="1111"/>
      <c r="FP16" s="1111"/>
      <c r="FQ16" s="1111"/>
      <c r="FR16" s="1111"/>
      <c r="FS16" s="1111"/>
      <c r="FT16" s="1111"/>
      <c r="FU16" s="1111"/>
      <c r="FV16" s="1111"/>
      <c r="FW16" s="1111"/>
      <c r="FX16" s="1111"/>
      <c r="FY16" s="1111"/>
      <c r="FZ16" s="1111"/>
      <c r="GA16" s="1111"/>
      <c r="GB16" s="1111"/>
      <c r="GC16" s="1111"/>
      <c r="GD16" s="1111"/>
      <c r="GE16" s="1111"/>
      <c r="GF16" s="1111"/>
      <c r="GG16" s="1111"/>
      <c r="GH16" s="1111"/>
      <c r="GI16" s="1111"/>
      <c r="GJ16" s="1111"/>
      <c r="GK16" s="1111"/>
      <c r="GL16" s="1111"/>
      <c r="GM16" s="1111"/>
      <c r="GN16" s="1111"/>
      <c r="GO16" s="1111"/>
      <c r="GP16" s="1111"/>
      <c r="GQ16" s="1111"/>
      <c r="GR16" s="1111"/>
      <c r="GS16" s="1111"/>
      <c r="GT16" s="1111"/>
      <c r="GU16" s="1111"/>
      <c r="GV16" s="1111"/>
      <c r="GW16" s="1111"/>
      <c r="GX16" s="1111"/>
      <c r="GY16" s="1111"/>
      <c r="GZ16" s="1111"/>
      <c r="HA16" s="1111"/>
      <c r="HB16" s="1111"/>
      <c r="HC16" s="1111"/>
      <c r="HD16" s="1111"/>
      <c r="HE16" s="1111"/>
      <c r="HF16" s="1111"/>
      <c r="HG16" s="1111"/>
      <c r="HH16" s="1111"/>
      <c r="HI16" s="1111"/>
      <c r="HJ16" s="1111"/>
      <c r="HK16" s="1111"/>
      <c r="HL16" s="1111"/>
      <c r="HM16" s="1111"/>
      <c r="HN16" s="1111"/>
      <c r="HO16" s="1111"/>
      <c r="HP16" s="1111"/>
      <c r="HQ16" s="1111"/>
      <c r="HR16" s="1111"/>
      <c r="HS16" s="1111"/>
      <c r="HT16" s="1111"/>
      <c r="HU16" s="1111"/>
      <c r="HV16" s="1111"/>
      <c r="HW16" s="1111"/>
      <c r="HX16" s="1111"/>
      <c r="HY16" s="1111"/>
      <c r="HZ16" s="1111"/>
      <c r="IA16" s="1111"/>
      <c r="IB16" s="1111"/>
      <c r="IC16" s="1111"/>
      <c r="ID16" s="1111"/>
      <c r="IE16" s="1111"/>
      <c r="IF16" s="1111"/>
      <c r="IG16" s="1111"/>
      <c r="IH16" s="1111"/>
      <c r="II16" s="1111"/>
      <c r="IJ16" s="1111"/>
      <c r="IK16" s="1111"/>
      <c r="IL16" s="1111"/>
      <c r="IM16" s="1111"/>
      <c r="IN16" s="1111"/>
      <c r="IO16" s="1111"/>
      <c r="IP16" s="1111"/>
      <c r="IQ16" s="1111"/>
      <c r="IR16" s="1111"/>
      <c r="IS16" s="1111"/>
      <c r="IT16" s="1111"/>
      <c r="IU16" s="1111"/>
      <c r="IV16" s="1111"/>
    </row>
    <row r="17" s="1083" customFormat="1" ht="18.6" customHeight="1" spans="1:256">
      <c r="A17" s="1102" t="s">
        <v>121</v>
      </c>
      <c r="B17" s="1099">
        <f>资产负债表!B17/资产负债表!B37</f>
        <v>0.838717753687771</v>
      </c>
      <c r="C17" s="1099">
        <f>资产负债表!C17/资产负债表!C37</f>
        <v>0.499135682322148</v>
      </c>
      <c r="D17" s="1099">
        <f t="shared" si="0"/>
        <v>0.339582071365623</v>
      </c>
      <c r="E17" s="1098" t="s">
        <v>122</v>
      </c>
      <c r="F17" s="1100">
        <f>资产负债表!E17/资产负债表!E37</f>
        <v>0</v>
      </c>
      <c r="G17" s="1099">
        <f>资产负债表!F17/资产负债表!F37</f>
        <v>0</v>
      </c>
      <c r="H17" s="1101">
        <f t="shared" si="1"/>
        <v>0</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c r="AX17" s="1111"/>
      <c r="AY17" s="1111"/>
      <c r="AZ17" s="1111"/>
      <c r="BA17" s="1111"/>
      <c r="BB17" s="1111"/>
      <c r="BC17" s="1111"/>
      <c r="BD17" s="1111"/>
      <c r="BE17" s="1111"/>
      <c r="BF17" s="1111"/>
      <c r="BG17" s="1111"/>
      <c r="BH17" s="1111"/>
      <c r="BI17" s="1111"/>
      <c r="BJ17" s="1111"/>
      <c r="BK17" s="1111"/>
      <c r="BL17" s="1111"/>
      <c r="BM17" s="1111"/>
      <c r="BN17" s="1111"/>
      <c r="BO17" s="1111"/>
      <c r="BP17" s="1111"/>
      <c r="BQ17" s="1111"/>
      <c r="BR17" s="1111"/>
      <c r="BS17" s="1111"/>
      <c r="BT17" s="1111"/>
      <c r="BU17" s="1111"/>
      <c r="BV17" s="1111"/>
      <c r="BW17" s="1111"/>
      <c r="BX17" s="1111"/>
      <c r="BY17" s="1111"/>
      <c r="BZ17" s="1111"/>
      <c r="CA17" s="1111"/>
      <c r="CB17" s="1111"/>
      <c r="CC17" s="1111"/>
      <c r="CD17" s="1111"/>
      <c r="CE17" s="1111"/>
      <c r="CF17" s="1111"/>
      <c r="CG17" s="1111"/>
      <c r="CH17" s="1111"/>
      <c r="CI17" s="1111"/>
      <c r="CJ17" s="1111"/>
      <c r="CK17" s="1111"/>
      <c r="CL17" s="1111"/>
      <c r="CM17" s="1111"/>
      <c r="CN17" s="1111"/>
      <c r="CO17" s="1111"/>
      <c r="CP17" s="1111"/>
      <c r="CQ17" s="1111"/>
      <c r="CR17" s="1111"/>
      <c r="CS17" s="1111"/>
      <c r="CT17" s="1111"/>
      <c r="CU17" s="1111"/>
      <c r="CV17" s="1111"/>
      <c r="CW17" s="1111"/>
      <c r="CX17" s="1111"/>
      <c r="CY17" s="1111"/>
      <c r="CZ17" s="1111"/>
      <c r="DA17" s="1111"/>
      <c r="DB17" s="1111"/>
      <c r="DC17" s="1111"/>
      <c r="DD17" s="1111"/>
      <c r="DE17" s="1111"/>
      <c r="DF17" s="1111"/>
      <c r="DG17" s="1111"/>
      <c r="DH17" s="1111"/>
      <c r="DI17" s="1111"/>
      <c r="DJ17" s="1111"/>
      <c r="DK17" s="1111"/>
      <c r="DL17" s="1111"/>
      <c r="DM17" s="1111"/>
      <c r="DN17" s="1111"/>
      <c r="DO17" s="1111"/>
      <c r="DP17" s="1111"/>
      <c r="DQ17" s="1111"/>
      <c r="DR17" s="1111"/>
      <c r="DS17" s="1111"/>
      <c r="DT17" s="1111"/>
      <c r="DU17" s="1111"/>
      <c r="DV17" s="1111"/>
      <c r="DW17" s="1111"/>
      <c r="DX17" s="1111"/>
      <c r="DY17" s="1111"/>
      <c r="DZ17" s="1111"/>
      <c r="EA17" s="1111"/>
      <c r="EB17" s="1111"/>
      <c r="EC17" s="1111"/>
      <c r="ED17" s="1111"/>
      <c r="EE17" s="1111"/>
      <c r="EF17" s="1111"/>
      <c r="EG17" s="1111"/>
      <c r="EH17" s="1111"/>
      <c r="EI17" s="1111"/>
      <c r="EJ17" s="1111"/>
      <c r="EK17" s="1111"/>
      <c r="EL17" s="1111"/>
      <c r="EM17" s="1111"/>
      <c r="EN17" s="1111"/>
      <c r="EO17" s="1111"/>
      <c r="EP17" s="1111"/>
      <c r="EQ17" s="1111"/>
      <c r="ER17" s="1111"/>
      <c r="ES17" s="1111"/>
      <c r="ET17" s="1111"/>
      <c r="EU17" s="1111"/>
      <c r="EV17" s="1111"/>
      <c r="EW17" s="1111"/>
      <c r="EX17" s="1111"/>
      <c r="EY17" s="1111"/>
      <c r="EZ17" s="1111"/>
      <c r="FA17" s="1111"/>
      <c r="FB17" s="1111"/>
      <c r="FC17" s="1111"/>
      <c r="FD17" s="1111"/>
      <c r="FE17" s="1111"/>
      <c r="FF17" s="1111"/>
      <c r="FG17" s="1111"/>
      <c r="FH17" s="1111"/>
      <c r="FI17" s="1111"/>
      <c r="FJ17" s="1111"/>
      <c r="FK17" s="1111"/>
      <c r="FL17" s="1111"/>
      <c r="FM17" s="1111"/>
      <c r="FN17" s="1111"/>
      <c r="FO17" s="1111"/>
      <c r="FP17" s="1111"/>
      <c r="FQ17" s="1111"/>
      <c r="FR17" s="1111"/>
      <c r="FS17" s="1111"/>
      <c r="FT17" s="1111"/>
      <c r="FU17" s="1111"/>
      <c r="FV17" s="1111"/>
      <c r="FW17" s="1111"/>
      <c r="FX17" s="1111"/>
      <c r="FY17" s="1111"/>
      <c r="FZ17" s="1111"/>
      <c r="GA17" s="1111"/>
      <c r="GB17" s="1111"/>
      <c r="GC17" s="1111"/>
      <c r="GD17" s="1111"/>
      <c r="GE17" s="1111"/>
      <c r="GF17" s="1111"/>
      <c r="GG17" s="1111"/>
      <c r="GH17" s="1111"/>
      <c r="GI17" s="1111"/>
      <c r="GJ17" s="1111"/>
      <c r="GK17" s="1111"/>
      <c r="GL17" s="1111"/>
      <c r="GM17" s="1111"/>
      <c r="GN17" s="1111"/>
      <c r="GO17" s="1111"/>
      <c r="GP17" s="1111"/>
      <c r="GQ17" s="1111"/>
      <c r="GR17" s="1111"/>
      <c r="GS17" s="1111"/>
      <c r="GT17" s="1111"/>
      <c r="GU17" s="1111"/>
      <c r="GV17" s="1111"/>
      <c r="GW17" s="1111"/>
      <c r="GX17" s="1111"/>
      <c r="GY17" s="1111"/>
      <c r="GZ17" s="1111"/>
      <c r="HA17" s="1111"/>
      <c r="HB17" s="1111"/>
      <c r="HC17" s="1111"/>
      <c r="HD17" s="1111"/>
      <c r="HE17" s="1111"/>
      <c r="HF17" s="1111"/>
      <c r="HG17" s="1111"/>
      <c r="HH17" s="1111"/>
      <c r="HI17" s="1111"/>
      <c r="HJ17" s="1111"/>
      <c r="HK17" s="1111"/>
      <c r="HL17" s="1111"/>
      <c r="HM17" s="1111"/>
      <c r="HN17" s="1111"/>
      <c r="HO17" s="1111"/>
      <c r="HP17" s="1111"/>
      <c r="HQ17" s="1111"/>
      <c r="HR17" s="1111"/>
      <c r="HS17" s="1111"/>
      <c r="HT17" s="1111"/>
      <c r="HU17" s="1111"/>
      <c r="HV17" s="1111"/>
      <c r="HW17" s="1111"/>
      <c r="HX17" s="1111"/>
      <c r="HY17" s="1111"/>
      <c r="HZ17" s="1111"/>
      <c r="IA17" s="1111"/>
      <c r="IB17" s="1111"/>
      <c r="IC17" s="1111"/>
      <c r="ID17" s="1111"/>
      <c r="IE17" s="1111"/>
      <c r="IF17" s="1111"/>
      <c r="IG17" s="1111"/>
      <c r="IH17" s="1111"/>
      <c r="II17" s="1111"/>
      <c r="IJ17" s="1111"/>
      <c r="IK17" s="1111"/>
      <c r="IL17" s="1111"/>
      <c r="IM17" s="1111"/>
      <c r="IN17" s="1111"/>
      <c r="IO17" s="1111"/>
      <c r="IP17" s="1111"/>
      <c r="IQ17" s="1111"/>
      <c r="IR17" s="1111"/>
      <c r="IS17" s="1111"/>
      <c r="IT17" s="1111"/>
      <c r="IU17" s="1111"/>
      <c r="IV17" s="1111"/>
    </row>
    <row r="18" s="1083" customFormat="1" ht="18.6" customHeight="1" spans="1:256">
      <c r="A18" s="1096" t="s">
        <v>123</v>
      </c>
      <c r="B18" s="1103"/>
      <c r="C18" s="1103"/>
      <c r="D18" s="1103"/>
      <c r="E18" s="1102" t="s">
        <v>124</v>
      </c>
      <c r="F18" s="1100">
        <f>资产负债表!E18/资产负债表!E37</f>
        <v>0.249479889042996</v>
      </c>
      <c r="G18" s="1099">
        <f>资产负债表!F18/资产负债表!F37</f>
        <v>0.615532428526446</v>
      </c>
      <c r="H18" s="1101">
        <f t="shared" si="1"/>
        <v>-0.36605253948345</v>
      </c>
      <c r="I18" s="1111"/>
      <c r="J18" s="1111"/>
      <c r="K18" s="1111"/>
      <c r="L18" s="1111"/>
      <c r="M18" s="1111"/>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1"/>
      <c r="BU18" s="1111"/>
      <c r="BV18" s="1111"/>
      <c r="BW18" s="1111"/>
      <c r="BX18" s="1111"/>
      <c r="BY18" s="1111"/>
      <c r="BZ18" s="1111"/>
      <c r="CA18" s="1111"/>
      <c r="CB18" s="1111"/>
      <c r="CC18" s="1111"/>
      <c r="CD18" s="1111"/>
      <c r="CE18" s="1111"/>
      <c r="CF18" s="1111"/>
      <c r="CG18" s="1111"/>
      <c r="CH18" s="1111"/>
      <c r="CI18" s="1111"/>
      <c r="CJ18" s="1111"/>
      <c r="CK18" s="1111"/>
      <c r="CL18" s="1111"/>
      <c r="CM18" s="1111"/>
      <c r="CN18" s="1111"/>
      <c r="CO18" s="1111"/>
      <c r="CP18" s="1111"/>
      <c r="CQ18" s="1111"/>
      <c r="CR18" s="1111"/>
      <c r="CS18" s="1111"/>
      <c r="CT18" s="1111"/>
      <c r="CU18" s="1111"/>
      <c r="CV18" s="1111"/>
      <c r="CW18" s="1111"/>
      <c r="CX18" s="1111"/>
      <c r="CY18" s="1111"/>
      <c r="CZ18" s="1111"/>
      <c r="DA18" s="1111"/>
      <c r="DB18" s="1111"/>
      <c r="DC18" s="1111"/>
      <c r="DD18" s="1111"/>
      <c r="DE18" s="1111"/>
      <c r="DF18" s="1111"/>
      <c r="DG18" s="1111"/>
      <c r="DH18" s="1111"/>
      <c r="DI18" s="1111"/>
      <c r="DJ18" s="1111"/>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1"/>
      <c r="FX18" s="1111"/>
      <c r="FY18" s="1111"/>
      <c r="FZ18" s="1111"/>
      <c r="GA18" s="1111"/>
      <c r="GB18" s="1111"/>
      <c r="GC18" s="1111"/>
      <c r="GD18" s="1111"/>
      <c r="GE18" s="1111"/>
      <c r="GF18" s="1111"/>
      <c r="GG18" s="1111"/>
      <c r="GH18" s="1111"/>
      <c r="GI18" s="1111"/>
      <c r="GJ18" s="1111"/>
      <c r="GK18" s="1111"/>
      <c r="GL18" s="1111"/>
      <c r="GM18" s="1111"/>
      <c r="GN18" s="1111"/>
      <c r="GO18" s="1111"/>
      <c r="GP18" s="1111"/>
      <c r="GQ18" s="1111"/>
      <c r="GR18" s="1111"/>
      <c r="GS18" s="1111"/>
      <c r="GT18" s="1111"/>
      <c r="GU18" s="1111"/>
      <c r="GV18" s="1111"/>
      <c r="GW18" s="1111"/>
      <c r="GX18" s="1111"/>
      <c r="GY18" s="1111"/>
      <c r="GZ18" s="1111"/>
      <c r="HA18" s="1111"/>
      <c r="HB18" s="1111"/>
      <c r="HC18" s="1111"/>
      <c r="HD18" s="1111"/>
      <c r="HE18" s="1111"/>
      <c r="HF18" s="1111"/>
      <c r="HG18" s="1111"/>
      <c r="HH18" s="1111"/>
      <c r="HI18" s="1111"/>
      <c r="HJ18" s="1111"/>
      <c r="HK18" s="1111"/>
      <c r="HL18" s="1111"/>
      <c r="HM18" s="1111"/>
      <c r="HN18" s="1111"/>
      <c r="HO18" s="1111"/>
      <c r="HP18" s="1111"/>
      <c r="HQ18" s="1111"/>
      <c r="HR18" s="1111"/>
      <c r="HS18" s="1111"/>
      <c r="HT18" s="1111"/>
      <c r="HU18" s="1111"/>
      <c r="HV18" s="1111"/>
      <c r="HW18" s="1111"/>
      <c r="HX18" s="1111"/>
      <c r="HY18" s="1111"/>
      <c r="HZ18" s="1111"/>
      <c r="IA18" s="1111"/>
      <c r="IB18" s="1111"/>
      <c r="IC18" s="1111"/>
      <c r="ID18" s="1111"/>
      <c r="IE18" s="1111"/>
      <c r="IF18" s="1111"/>
      <c r="IG18" s="1111"/>
      <c r="IH18" s="1111"/>
      <c r="II18" s="1111"/>
      <c r="IJ18" s="1111"/>
      <c r="IK18" s="1111"/>
      <c r="IL18" s="1111"/>
      <c r="IM18" s="1111"/>
      <c r="IN18" s="1111"/>
      <c r="IO18" s="1111"/>
      <c r="IP18" s="1111"/>
      <c r="IQ18" s="1111"/>
      <c r="IR18" s="1111"/>
      <c r="IS18" s="1111"/>
      <c r="IT18" s="1111"/>
      <c r="IU18" s="1111"/>
      <c r="IV18" s="1111"/>
    </row>
    <row r="19" s="1083" customFormat="1" ht="18.6" customHeight="1" spans="1:256">
      <c r="A19" s="1098" t="s">
        <v>125</v>
      </c>
      <c r="B19" s="1099">
        <f>资产负债表!B19/资产负债表!B37</f>
        <v>0.0045351319651286</v>
      </c>
      <c r="C19" s="1099">
        <f>资产负债表!C19/资产负债表!C37</f>
        <v>0.00396608497420378</v>
      </c>
      <c r="D19" s="1099">
        <f t="shared" ref="D19:D36" si="2">B19-C19</f>
        <v>0.000569046990924821</v>
      </c>
      <c r="E19" s="1096" t="s">
        <v>126</v>
      </c>
      <c r="F19" s="1104"/>
      <c r="G19" s="1103"/>
      <c r="H19" s="1096"/>
      <c r="I19" s="1111"/>
      <c r="J19" s="1111"/>
      <c r="K19" s="1111"/>
      <c r="L19" s="1111"/>
      <c r="M19" s="1111"/>
      <c r="N19" s="1111"/>
      <c r="O19" s="1111"/>
      <c r="P19" s="1111"/>
      <c r="Q19" s="1111"/>
      <c r="R19" s="1111"/>
      <c r="S19" s="1111"/>
      <c r="T19" s="1111"/>
      <c r="U19" s="1111"/>
      <c r="V19" s="1111"/>
      <c r="W19" s="1111"/>
      <c r="X19" s="1111"/>
      <c r="Y19" s="1111"/>
      <c r="Z19" s="1111"/>
      <c r="AA19" s="1111"/>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1"/>
      <c r="FY19" s="1111"/>
      <c r="FZ19" s="1111"/>
      <c r="GA19" s="1111"/>
      <c r="GB19" s="1111"/>
      <c r="GC19" s="1111"/>
      <c r="GD19" s="1111"/>
      <c r="GE19" s="1111"/>
      <c r="GF19" s="1111"/>
      <c r="GG19" s="1111"/>
      <c r="GH19" s="1111"/>
      <c r="GI19" s="1111"/>
      <c r="GJ19" s="1111"/>
      <c r="GK19" s="1111"/>
      <c r="GL19" s="1111"/>
      <c r="GM19" s="1111"/>
      <c r="GN19" s="1111"/>
      <c r="GO19" s="1111"/>
      <c r="GP19" s="1111"/>
      <c r="GQ19" s="1111"/>
      <c r="GR19" s="1111"/>
      <c r="GS19" s="1111"/>
      <c r="GT19" s="1111"/>
      <c r="GU19" s="1111"/>
      <c r="GV19" s="1111"/>
      <c r="GW19" s="1111"/>
      <c r="GX19" s="1111"/>
      <c r="GY19" s="1111"/>
      <c r="GZ19" s="1111"/>
      <c r="HA19" s="1111"/>
      <c r="HB19" s="1111"/>
      <c r="HC19" s="1111"/>
      <c r="HD19" s="1111"/>
      <c r="HE19" s="1111"/>
      <c r="HF19" s="1111"/>
      <c r="HG19" s="1111"/>
      <c r="HH19" s="1111"/>
      <c r="HI19" s="1111"/>
      <c r="HJ19" s="1111"/>
      <c r="HK19" s="1111"/>
      <c r="HL19" s="1111"/>
      <c r="HM19" s="1111"/>
      <c r="HN19" s="1111"/>
      <c r="HO19" s="1111"/>
      <c r="HP19" s="1111"/>
      <c r="HQ19" s="1111"/>
      <c r="HR19" s="1111"/>
      <c r="HS19" s="1111"/>
      <c r="HT19" s="1111"/>
      <c r="HU19" s="1111"/>
      <c r="HV19" s="1111"/>
      <c r="HW19" s="1111"/>
      <c r="HX19" s="1111"/>
      <c r="HY19" s="1111"/>
      <c r="HZ19" s="1111"/>
      <c r="IA19" s="1111"/>
      <c r="IB19" s="1111"/>
      <c r="IC19" s="1111"/>
      <c r="ID19" s="1111"/>
      <c r="IE19" s="1111"/>
      <c r="IF19" s="1111"/>
      <c r="IG19" s="1111"/>
      <c r="IH19" s="1111"/>
      <c r="II19" s="1111"/>
      <c r="IJ19" s="1111"/>
      <c r="IK19" s="1111"/>
      <c r="IL19" s="1111"/>
      <c r="IM19" s="1111"/>
      <c r="IN19" s="1111"/>
      <c r="IO19" s="1111"/>
      <c r="IP19" s="1111"/>
      <c r="IQ19" s="1111"/>
      <c r="IR19" s="1111"/>
      <c r="IS19" s="1111"/>
      <c r="IT19" s="1111"/>
      <c r="IU19" s="1111"/>
      <c r="IV19" s="1111"/>
    </row>
    <row r="20" s="1083" customFormat="1" ht="18.6" customHeight="1" spans="1:256">
      <c r="A20" s="1098" t="s">
        <v>127</v>
      </c>
      <c r="B20" s="1099">
        <f>资产负债表!B20/资产负债表!B37</f>
        <v>0</v>
      </c>
      <c r="C20" s="1099">
        <f>资产负债表!C20/资产负债表!C37</f>
        <v>0</v>
      </c>
      <c r="D20" s="1099">
        <f t="shared" si="2"/>
        <v>0</v>
      </c>
      <c r="E20" s="1098" t="s">
        <v>128</v>
      </c>
      <c r="F20" s="1100">
        <f>资产负债表!E20/资产负债表!E37</f>
        <v>0</v>
      </c>
      <c r="G20" s="1099">
        <f>资产负债表!F20/资产负债表!F37</f>
        <v>0</v>
      </c>
      <c r="H20" s="1101">
        <f t="shared" ref="H20:H28" si="3">F20-G20</f>
        <v>0</v>
      </c>
      <c r="I20" s="1111"/>
      <c r="J20" s="1111"/>
      <c r="K20" s="1111"/>
      <c r="L20" s="1111"/>
      <c r="M20" s="1111"/>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c r="AL20" s="1111"/>
      <c r="AM20" s="1111"/>
      <c r="AN20" s="1111"/>
      <c r="AO20" s="1111"/>
      <c r="AP20" s="1111"/>
      <c r="AQ20" s="1111"/>
      <c r="AR20" s="1111"/>
      <c r="AS20" s="1111"/>
      <c r="AT20" s="1111"/>
      <c r="AU20" s="1111"/>
      <c r="AV20" s="1111"/>
      <c r="AW20" s="1111"/>
      <c r="AX20" s="1111"/>
      <c r="AY20" s="1111"/>
      <c r="AZ20" s="1111"/>
      <c r="BA20" s="1111"/>
      <c r="BB20" s="1111"/>
      <c r="BC20" s="1111"/>
      <c r="BD20" s="1111"/>
      <c r="BE20" s="1111"/>
      <c r="BF20" s="1111"/>
      <c r="BG20" s="1111"/>
      <c r="BH20" s="1111"/>
      <c r="BI20" s="1111"/>
      <c r="BJ20" s="1111"/>
      <c r="BK20" s="1111"/>
      <c r="BL20" s="1111"/>
      <c r="BM20" s="1111"/>
      <c r="BN20" s="1111"/>
      <c r="BO20" s="1111"/>
      <c r="BP20" s="1111"/>
      <c r="BQ20" s="1111"/>
      <c r="BR20" s="1111"/>
      <c r="BS20" s="1111"/>
      <c r="BT20" s="1111"/>
      <c r="BU20" s="1111"/>
      <c r="BV20" s="1111"/>
      <c r="BW20" s="1111"/>
      <c r="BX20" s="1111"/>
      <c r="BY20" s="1111"/>
      <c r="BZ20" s="1111"/>
      <c r="CA20" s="1111"/>
      <c r="CB20" s="1111"/>
      <c r="CC20" s="1111"/>
      <c r="CD20" s="1111"/>
      <c r="CE20" s="1111"/>
      <c r="CF20" s="1111"/>
      <c r="CG20" s="1111"/>
      <c r="CH20" s="1111"/>
      <c r="CI20" s="1111"/>
      <c r="CJ20" s="1111"/>
      <c r="CK20" s="1111"/>
      <c r="CL20" s="1111"/>
      <c r="CM20" s="1111"/>
      <c r="CN20" s="1111"/>
      <c r="CO20" s="1111"/>
      <c r="CP20" s="1111"/>
      <c r="CQ20" s="1111"/>
      <c r="CR20" s="1111"/>
      <c r="CS20" s="1111"/>
      <c r="CT20" s="1111"/>
      <c r="CU20" s="1111"/>
      <c r="CV20" s="1111"/>
      <c r="CW20" s="1111"/>
      <c r="CX20" s="1111"/>
      <c r="CY20" s="1111"/>
      <c r="CZ20" s="1111"/>
      <c r="DA20" s="1111"/>
      <c r="DB20" s="1111"/>
      <c r="DC20" s="1111"/>
      <c r="DD20" s="1111"/>
      <c r="DE20" s="1111"/>
      <c r="DF20" s="1111"/>
      <c r="DG20" s="1111"/>
      <c r="DH20" s="1111"/>
      <c r="DI20" s="1111"/>
      <c r="DJ20" s="1111"/>
      <c r="DK20" s="1111"/>
      <c r="DL20" s="1111"/>
      <c r="DM20" s="1111"/>
      <c r="DN20" s="1111"/>
      <c r="DO20" s="1111"/>
      <c r="DP20" s="1111"/>
      <c r="DQ20" s="1111"/>
      <c r="DR20" s="1111"/>
      <c r="DS20" s="1111"/>
      <c r="DT20" s="1111"/>
      <c r="DU20" s="1111"/>
      <c r="DV20" s="1111"/>
      <c r="DW20" s="1111"/>
      <c r="DX20" s="1111"/>
      <c r="DY20" s="1111"/>
      <c r="DZ20" s="1111"/>
      <c r="EA20" s="1111"/>
      <c r="EB20" s="1111"/>
      <c r="EC20" s="1111"/>
      <c r="ED20" s="1111"/>
      <c r="EE20" s="1111"/>
      <c r="EF20" s="1111"/>
      <c r="EG20" s="1111"/>
      <c r="EH20" s="1111"/>
      <c r="EI20" s="1111"/>
      <c r="EJ20" s="1111"/>
      <c r="EK20" s="1111"/>
      <c r="EL20" s="1111"/>
      <c r="EM20" s="1111"/>
      <c r="EN20" s="1111"/>
      <c r="EO20" s="1111"/>
      <c r="EP20" s="1111"/>
      <c r="EQ20" s="1111"/>
      <c r="ER20" s="1111"/>
      <c r="ES20" s="1111"/>
      <c r="ET20" s="1111"/>
      <c r="EU20" s="1111"/>
      <c r="EV20" s="1111"/>
      <c r="EW20" s="1111"/>
      <c r="EX20" s="1111"/>
      <c r="EY20" s="1111"/>
      <c r="EZ20" s="1111"/>
      <c r="FA20" s="1111"/>
      <c r="FB20" s="1111"/>
      <c r="FC20" s="1111"/>
      <c r="FD20" s="1111"/>
      <c r="FE20" s="1111"/>
      <c r="FF20" s="1111"/>
      <c r="FG20" s="1111"/>
      <c r="FH20" s="1111"/>
      <c r="FI20" s="1111"/>
      <c r="FJ20" s="1111"/>
      <c r="FK20" s="1111"/>
      <c r="FL20" s="1111"/>
      <c r="FM20" s="1111"/>
      <c r="FN20" s="1111"/>
      <c r="FO20" s="1111"/>
      <c r="FP20" s="1111"/>
      <c r="FQ20" s="1111"/>
      <c r="FR20" s="1111"/>
      <c r="FS20" s="1111"/>
      <c r="FT20" s="1111"/>
      <c r="FU20" s="1111"/>
      <c r="FV20" s="1111"/>
      <c r="FW20" s="1111"/>
      <c r="FX20" s="1111"/>
      <c r="FY20" s="1111"/>
      <c r="FZ20" s="1111"/>
      <c r="GA20" s="1111"/>
      <c r="GB20" s="1111"/>
      <c r="GC20" s="1111"/>
      <c r="GD20" s="1111"/>
      <c r="GE20" s="1111"/>
      <c r="GF20" s="1111"/>
      <c r="GG20" s="1111"/>
      <c r="GH20" s="1111"/>
      <c r="GI20" s="1111"/>
      <c r="GJ20" s="1111"/>
      <c r="GK20" s="1111"/>
      <c r="GL20" s="1111"/>
      <c r="GM20" s="1111"/>
      <c r="GN20" s="1111"/>
      <c r="GO20" s="1111"/>
      <c r="GP20" s="1111"/>
      <c r="GQ20" s="1111"/>
      <c r="GR20" s="1111"/>
      <c r="GS20" s="1111"/>
      <c r="GT20" s="1111"/>
      <c r="GU20" s="1111"/>
      <c r="GV20" s="1111"/>
      <c r="GW20" s="1111"/>
      <c r="GX20" s="1111"/>
      <c r="GY20" s="1111"/>
      <c r="GZ20" s="1111"/>
      <c r="HA20" s="1111"/>
      <c r="HB20" s="1111"/>
      <c r="HC20" s="1111"/>
      <c r="HD20" s="1111"/>
      <c r="HE20" s="1111"/>
      <c r="HF20" s="1111"/>
      <c r="HG20" s="1111"/>
      <c r="HH20" s="1111"/>
      <c r="HI20" s="1111"/>
      <c r="HJ20" s="1111"/>
      <c r="HK20" s="1111"/>
      <c r="HL20" s="1111"/>
      <c r="HM20" s="1111"/>
      <c r="HN20" s="1111"/>
      <c r="HO20" s="1111"/>
      <c r="HP20" s="1111"/>
      <c r="HQ20" s="1111"/>
      <c r="HR20" s="1111"/>
      <c r="HS20" s="1111"/>
      <c r="HT20" s="1111"/>
      <c r="HU20" s="1111"/>
      <c r="HV20" s="1111"/>
      <c r="HW20" s="1111"/>
      <c r="HX20" s="1111"/>
      <c r="HY20" s="1111"/>
      <c r="HZ20" s="1111"/>
      <c r="IA20" s="1111"/>
      <c r="IB20" s="1111"/>
      <c r="IC20" s="1111"/>
      <c r="ID20" s="1111"/>
      <c r="IE20" s="1111"/>
      <c r="IF20" s="1111"/>
      <c r="IG20" s="1111"/>
      <c r="IH20" s="1111"/>
      <c r="II20" s="1111"/>
      <c r="IJ20" s="1111"/>
      <c r="IK20" s="1111"/>
      <c r="IL20" s="1111"/>
      <c r="IM20" s="1111"/>
      <c r="IN20" s="1111"/>
      <c r="IO20" s="1111"/>
      <c r="IP20" s="1111"/>
      <c r="IQ20" s="1111"/>
      <c r="IR20" s="1111"/>
      <c r="IS20" s="1111"/>
      <c r="IT20" s="1111"/>
      <c r="IU20" s="1111"/>
      <c r="IV20" s="1111"/>
    </row>
    <row r="21" s="1083" customFormat="1" ht="18.6" customHeight="1" spans="1:256">
      <c r="A21" s="1098" t="s">
        <v>129</v>
      </c>
      <c r="B21" s="1099">
        <f>资产负债表!B21/资产负债表!B37</f>
        <v>0.000752453638378673</v>
      </c>
      <c r="C21" s="1099">
        <f>资产负债表!C21/资产负债表!C37</f>
        <v>0.00026144313648813</v>
      </c>
      <c r="D21" s="1099">
        <f t="shared" si="2"/>
        <v>0.000491010501890544</v>
      </c>
      <c r="E21" s="1098" t="s">
        <v>130</v>
      </c>
      <c r="F21" s="1100">
        <f>资产负债表!E21/资产负债表!E37</f>
        <v>0</v>
      </c>
      <c r="G21" s="1099">
        <f>资产负债表!F21/资产负债表!F37</f>
        <v>0</v>
      </c>
      <c r="H21" s="1101">
        <f t="shared" si="3"/>
        <v>0</v>
      </c>
      <c r="I21" s="1111"/>
      <c r="J21" s="1111"/>
      <c r="K21" s="1111"/>
      <c r="L21" s="1111"/>
      <c r="M21" s="1111"/>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c r="AL21" s="1111"/>
      <c r="AM21" s="1111"/>
      <c r="AN21" s="1111"/>
      <c r="AO21" s="1111"/>
      <c r="AP21" s="1111"/>
      <c r="AQ21" s="1111"/>
      <c r="AR21" s="1111"/>
      <c r="AS21" s="1111"/>
      <c r="AT21" s="1111"/>
      <c r="AU21" s="1111"/>
      <c r="AV21" s="1111"/>
      <c r="AW21" s="1111"/>
      <c r="AX21" s="1111"/>
      <c r="AY21" s="1111"/>
      <c r="AZ21" s="1111"/>
      <c r="BA21" s="1111"/>
      <c r="BB21" s="1111"/>
      <c r="BC21" s="1111"/>
      <c r="BD21" s="1111"/>
      <c r="BE21" s="1111"/>
      <c r="BF21" s="1111"/>
      <c r="BG21" s="1111"/>
      <c r="BH21" s="1111"/>
      <c r="BI21" s="1111"/>
      <c r="BJ21" s="1111"/>
      <c r="BK21" s="1111"/>
      <c r="BL21" s="1111"/>
      <c r="BM21" s="1111"/>
      <c r="BN21" s="1111"/>
      <c r="BO21" s="1111"/>
      <c r="BP21" s="1111"/>
      <c r="BQ21" s="1111"/>
      <c r="BR21" s="1111"/>
      <c r="BS21" s="1111"/>
      <c r="BT21" s="1111"/>
      <c r="BU21" s="1111"/>
      <c r="BV21" s="1111"/>
      <c r="BW21" s="1111"/>
      <c r="BX21" s="1111"/>
      <c r="BY21" s="1111"/>
      <c r="BZ21" s="1111"/>
      <c r="CA21" s="1111"/>
      <c r="CB21" s="1111"/>
      <c r="CC21" s="1111"/>
      <c r="CD21" s="1111"/>
      <c r="CE21" s="1111"/>
      <c r="CF21" s="1111"/>
      <c r="CG21" s="1111"/>
      <c r="CH21" s="1111"/>
      <c r="CI21" s="1111"/>
      <c r="CJ21" s="1111"/>
      <c r="CK21" s="1111"/>
      <c r="CL21" s="1111"/>
      <c r="CM21" s="1111"/>
      <c r="CN21" s="1111"/>
      <c r="CO21" s="1111"/>
      <c r="CP21" s="1111"/>
      <c r="CQ21" s="1111"/>
      <c r="CR21" s="1111"/>
      <c r="CS21" s="1111"/>
      <c r="CT21" s="1111"/>
      <c r="CU21" s="1111"/>
      <c r="CV21" s="1111"/>
      <c r="CW21" s="1111"/>
      <c r="CX21" s="1111"/>
      <c r="CY21" s="1111"/>
      <c r="CZ21" s="1111"/>
      <c r="DA21" s="1111"/>
      <c r="DB21" s="1111"/>
      <c r="DC21" s="1111"/>
      <c r="DD21" s="1111"/>
      <c r="DE21" s="1111"/>
      <c r="DF21" s="1111"/>
      <c r="DG21" s="1111"/>
      <c r="DH21" s="1111"/>
      <c r="DI21" s="1111"/>
      <c r="DJ21" s="1111"/>
      <c r="DK21" s="1111"/>
      <c r="DL21" s="1111"/>
      <c r="DM21" s="1111"/>
      <c r="DN21" s="1111"/>
      <c r="DO21" s="1111"/>
      <c r="DP21" s="1111"/>
      <c r="DQ21" s="1111"/>
      <c r="DR21" s="1111"/>
      <c r="DS21" s="1111"/>
      <c r="DT21" s="1111"/>
      <c r="DU21" s="1111"/>
      <c r="DV21" s="1111"/>
      <c r="DW21" s="1111"/>
      <c r="DX21" s="1111"/>
      <c r="DY21" s="1111"/>
      <c r="DZ21" s="1111"/>
      <c r="EA21" s="1111"/>
      <c r="EB21" s="1111"/>
      <c r="EC21" s="1111"/>
      <c r="ED21" s="1111"/>
      <c r="EE21" s="1111"/>
      <c r="EF21" s="1111"/>
      <c r="EG21" s="1111"/>
      <c r="EH21" s="1111"/>
      <c r="EI21" s="1111"/>
      <c r="EJ21" s="1111"/>
      <c r="EK21" s="1111"/>
      <c r="EL21" s="1111"/>
      <c r="EM21" s="1111"/>
      <c r="EN21" s="1111"/>
      <c r="EO21" s="1111"/>
      <c r="EP21" s="1111"/>
      <c r="EQ21" s="1111"/>
      <c r="ER21" s="1111"/>
      <c r="ES21" s="1111"/>
      <c r="ET21" s="1111"/>
      <c r="EU21" s="1111"/>
      <c r="EV21" s="1111"/>
      <c r="EW21" s="1111"/>
      <c r="EX21" s="1111"/>
      <c r="EY21" s="1111"/>
      <c r="EZ21" s="1111"/>
      <c r="FA21" s="1111"/>
      <c r="FB21" s="1111"/>
      <c r="FC21" s="1111"/>
      <c r="FD21" s="1111"/>
      <c r="FE21" s="1111"/>
      <c r="FF21" s="1111"/>
      <c r="FG21" s="1111"/>
      <c r="FH21" s="1111"/>
      <c r="FI21" s="1111"/>
      <c r="FJ21" s="1111"/>
      <c r="FK21" s="1111"/>
      <c r="FL21" s="1111"/>
      <c r="FM21" s="1111"/>
      <c r="FN21" s="1111"/>
      <c r="FO21" s="1111"/>
      <c r="FP21" s="1111"/>
      <c r="FQ21" s="1111"/>
      <c r="FR21" s="1111"/>
      <c r="FS21" s="1111"/>
      <c r="FT21" s="1111"/>
      <c r="FU21" s="1111"/>
      <c r="FV21" s="1111"/>
      <c r="FW21" s="1111"/>
      <c r="FX21" s="1111"/>
      <c r="FY21" s="1111"/>
      <c r="FZ21" s="1111"/>
      <c r="GA21" s="1111"/>
      <c r="GB21" s="1111"/>
      <c r="GC21" s="1111"/>
      <c r="GD21" s="1111"/>
      <c r="GE21" s="1111"/>
      <c r="GF21" s="1111"/>
      <c r="GG21" s="1111"/>
      <c r="GH21" s="1111"/>
      <c r="GI21" s="1111"/>
      <c r="GJ21" s="1111"/>
      <c r="GK21" s="1111"/>
      <c r="GL21" s="1111"/>
      <c r="GM21" s="1111"/>
      <c r="GN21" s="1111"/>
      <c r="GO21" s="1111"/>
      <c r="GP21" s="1111"/>
      <c r="GQ21" s="1111"/>
      <c r="GR21" s="1111"/>
      <c r="GS21" s="1111"/>
      <c r="GT21" s="1111"/>
      <c r="GU21" s="1111"/>
      <c r="GV21" s="1111"/>
      <c r="GW21" s="1111"/>
      <c r="GX21" s="1111"/>
      <c r="GY21" s="1111"/>
      <c r="GZ21" s="1111"/>
      <c r="HA21" s="1111"/>
      <c r="HB21" s="1111"/>
      <c r="HC21" s="1111"/>
      <c r="HD21" s="1111"/>
      <c r="HE21" s="1111"/>
      <c r="HF21" s="1111"/>
      <c r="HG21" s="1111"/>
      <c r="HH21" s="1111"/>
      <c r="HI21" s="1111"/>
      <c r="HJ21" s="1111"/>
      <c r="HK21" s="1111"/>
      <c r="HL21" s="1111"/>
      <c r="HM21" s="1111"/>
      <c r="HN21" s="1111"/>
      <c r="HO21" s="1111"/>
      <c r="HP21" s="1111"/>
      <c r="HQ21" s="1111"/>
      <c r="HR21" s="1111"/>
      <c r="HS21" s="1111"/>
      <c r="HT21" s="1111"/>
      <c r="HU21" s="1111"/>
      <c r="HV21" s="1111"/>
      <c r="HW21" s="1111"/>
      <c r="HX21" s="1111"/>
      <c r="HY21" s="1111"/>
      <c r="HZ21" s="1111"/>
      <c r="IA21" s="1111"/>
      <c r="IB21" s="1111"/>
      <c r="IC21" s="1111"/>
      <c r="ID21" s="1111"/>
      <c r="IE21" s="1111"/>
      <c r="IF21" s="1111"/>
      <c r="IG21" s="1111"/>
      <c r="IH21" s="1111"/>
      <c r="II21" s="1111"/>
      <c r="IJ21" s="1111"/>
      <c r="IK21" s="1111"/>
      <c r="IL21" s="1111"/>
      <c r="IM21" s="1111"/>
      <c r="IN21" s="1111"/>
      <c r="IO21" s="1111"/>
      <c r="IP21" s="1111"/>
      <c r="IQ21" s="1111"/>
      <c r="IR21" s="1111"/>
      <c r="IS21" s="1111"/>
      <c r="IT21" s="1111"/>
      <c r="IU21" s="1111"/>
      <c r="IV21" s="1111"/>
    </row>
    <row r="22" s="1083" customFormat="1" ht="18.6" customHeight="1" spans="1:256">
      <c r="A22" s="1098" t="s">
        <v>131</v>
      </c>
      <c r="B22" s="1099">
        <f>资产负债表!B22/资产负债表!B37</f>
        <v>0</v>
      </c>
      <c r="C22" s="1099">
        <f>资产负债表!C22/资产负债表!C37</f>
        <v>0</v>
      </c>
      <c r="D22" s="1099">
        <f t="shared" si="2"/>
        <v>0</v>
      </c>
      <c r="E22" s="1098" t="s">
        <v>132</v>
      </c>
      <c r="F22" s="1100">
        <f>资产负债表!E22/资产负债表!E37</f>
        <v>0</v>
      </c>
      <c r="G22" s="1099">
        <f>资产负债表!F22/资产负债表!F37</f>
        <v>0</v>
      </c>
      <c r="H22" s="1101">
        <f t="shared" si="3"/>
        <v>0</v>
      </c>
      <c r="I22" s="1111"/>
      <c r="J22" s="1111"/>
      <c r="K22" s="1111"/>
      <c r="L22" s="1111"/>
      <c r="M22" s="1111"/>
      <c r="N22" s="1111"/>
      <c r="O22" s="1111"/>
      <c r="P22" s="1111"/>
      <c r="Q22" s="1111"/>
      <c r="R22" s="1111"/>
      <c r="S22" s="1111"/>
      <c r="T22" s="1111"/>
      <c r="U22" s="1111"/>
      <c r="V22" s="1111"/>
      <c r="W22" s="1111"/>
      <c r="X22" s="1111"/>
      <c r="Y22" s="1111"/>
      <c r="Z22" s="1111"/>
      <c r="AA22" s="1111"/>
      <c r="AB22" s="1111"/>
      <c r="AC22" s="1111"/>
      <c r="AD22" s="1111"/>
      <c r="AE22" s="1111"/>
      <c r="AF22" s="1111"/>
      <c r="AG22" s="1111"/>
      <c r="AH22" s="1111"/>
      <c r="AI22" s="1111"/>
      <c r="AJ22" s="1111"/>
      <c r="AK22" s="1111"/>
      <c r="AL22" s="1111"/>
      <c r="AM22" s="1111"/>
      <c r="AN22" s="1111"/>
      <c r="AO22" s="1111"/>
      <c r="AP22" s="1111"/>
      <c r="AQ22" s="1111"/>
      <c r="AR22" s="1111"/>
      <c r="AS22" s="1111"/>
      <c r="AT22" s="1111"/>
      <c r="AU22" s="1111"/>
      <c r="AV22" s="1111"/>
      <c r="AW22" s="1111"/>
      <c r="AX22" s="1111"/>
      <c r="AY22" s="1111"/>
      <c r="AZ22" s="1111"/>
      <c r="BA22" s="1111"/>
      <c r="BB22" s="1111"/>
      <c r="BC22" s="1111"/>
      <c r="BD22" s="1111"/>
      <c r="BE22" s="1111"/>
      <c r="BF22" s="1111"/>
      <c r="BG22" s="1111"/>
      <c r="BH22" s="1111"/>
      <c r="BI22" s="1111"/>
      <c r="BJ22" s="1111"/>
      <c r="BK22" s="1111"/>
      <c r="BL22" s="1111"/>
      <c r="BM22" s="1111"/>
      <c r="BN22" s="1111"/>
      <c r="BO22" s="1111"/>
      <c r="BP22" s="1111"/>
      <c r="BQ22" s="1111"/>
      <c r="BR22" s="1111"/>
      <c r="BS22" s="1111"/>
      <c r="BT22" s="1111"/>
      <c r="BU22" s="1111"/>
      <c r="BV22" s="1111"/>
      <c r="BW22" s="1111"/>
      <c r="BX22" s="1111"/>
      <c r="BY22" s="1111"/>
      <c r="BZ22" s="1111"/>
      <c r="CA22" s="1111"/>
      <c r="CB22" s="1111"/>
      <c r="CC22" s="1111"/>
      <c r="CD22" s="1111"/>
      <c r="CE22" s="1111"/>
      <c r="CF22" s="1111"/>
      <c r="CG22" s="1111"/>
      <c r="CH22" s="1111"/>
      <c r="CI22" s="1111"/>
      <c r="CJ22" s="1111"/>
      <c r="CK22" s="1111"/>
      <c r="CL22" s="1111"/>
      <c r="CM22" s="1111"/>
      <c r="CN22" s="1111"/>
      <c r="CO22" s="1111"/>
      <c r="CP22" s="1111"/>
      <c r="CQ22" s="1111"/>
      <c r="CR22" s="1111"/>
      <c r="CS22" s="1111"/>
      <c r="CT22" s="1111"/>
      <c r="CU22" s="1111"/>
      <c r="CV22" s="1111"/>
      <c r="CW22" s="1111"/>
      <c r="CX22" s="1111"/>
      <c r="CY22" s="1111"/>
      <c r="CZ22" s="1111"/>
      <c r="DA22" s="1111"/>
      <c r="DB22" s="1111"/>
      <c r="DC22" s="1111"/>
      <c r="DD22" s="1111"/>
      <c r="DE22" s="1111"/>
      <c r="DF22" s="1111"/>
      <c r="DG22" s="1111"/>
      <c r="DH22" s="1111"/>
      <c r="DI22" s="1111"/>
      <c r="DJ22" s="1111"/>
      <c r="DK22" s="1111"/>
      <c r="DL22" s="1111"/>
      <c r="DM22" s="1111"/>
      <c r="DN22" s="1111"/>
      <c r="DO22" s="1111"/>
      <c r="DP22" s="1111"/>
      <c r="DQ22" s="1111"/>
      <c r="DR22" s="1111"/>
      <c r="DS22" s="1111"/>
      <c r="DT22" s="1111"/>
      <c r="DU22" s="1111"/>
      <c r="DV22" s="1111"/>
      <c r="DW22" s="1111"/>
      <c r="DX22" s="1111"/>
      <c r="DY22" s="1111"/>
      <c r="DZ22" s="1111"/>
      <c r="EA22" s="1111"/>
      <c r="EB22" s="1111"/>
      <c r="EC22" s="1111"/>
      <c r="ED22" s="1111"/>
      <c r="EE22" s="1111"/>
      <c r="EF22" s="1111"/>
      <c r="EG22" s="1111"/>
      <c r="EH22" s="1111"/>
      <c r="EI22" s="1111"/>
      <c r="EJ22" s="1111"/>
      <c r="EK22" s="1111"/>
      <c r="EL22" s="1111"/>
      <c r="EM22" s="1111"/>
      <c r="EN22" s="1111"/>
      <c r="EO22" s="1111"/>
      <c r="EP22" s="1111"/>
      <c r="EQ22" s="1111"/>
      <c r="ER22" s="1111"/>
      <c r="ES22" s="1111"/>
      <c r="ET22" s="1111"/>
      <c r="EU22" s="1111"/>
      <c r="EV22" s="1111"/>
      <c r="EW22" s="1111"/>
      <c r="EX22" s="1111"/>
      <c r="EY22" s="1111"/>
      <c r="EZ22" s="1111"/>
      <c r="FA22" s="1111"/>
      <c r="FB22" s="1111"/>
      <c r="FC22" s="1111"/>
      <c r="FD22" s="1111"/>
      <c r="FE22" s="1111"/>
      <c r="FF22" s="1111"/>
      <c r="FG22" s="1111"/>
      <c r="FH22" s="1111"/>
      <c r="FI22" s="1111"/>
      <c r="FJ22" s="1111"/>
      <c r="FK22" s="1111"/>
      <c r="FL22" s="1111"/>
      <c r="FM22" s="1111"/>
      <c r="FN22" s="1111"/>
      <c r="FO22" s="1111"/>
      <c r="FP22" s="1111"/>
      <c r="FQ22" s="1111"/>
      <c r="FR22" s="1111"/>
      <c r="FS22" s="1111"/>
      <c r="FT22" s="1111"/>
      <c r="FU22" s="1111"/>
      <c r="FV22" s="1111"/>
      <c r="FW22" s="1111"/>
      <c r="FX22" s="1111"/>
      <c r="FY22" s="1111"/>
      <c r="FZ22" s="1111"/>
      <c r="GA22" s="1111"/>
      <c r="GB22" s="1111"/>
      <c r="GC22" s="1111"/>
      <c r="GD22" s="1111"/>
      <c r="GE22" s="1111"/>
      <c r="GF22" s="1111"/>
      <c r="GG22" s="1111"/>
      <c r="GH22" s="1111"/>
      <c r="GI22" s="1111"/>
      <c r="GJ22" s="1111"/>
      <c r="GK22" s="1111"/>
      <c r="GL22" s="1111"/>
      <c r="GM22" s="1111"/>
      <c r="GN22" s="1111"/>
      <c r="GO22" s="1111"/>
      <c r="GP22" s="1111"/>
      <c r="GQ22" s="1111"/>
      <c r="GR22" s="1111"/>
      <c r="GS22" s="1111"/>
      <c r="GT22" s="1111"/>
      <c r="GU22" s="1111"/>
      <c r="GV22" s="1111"/>
      <c r="GW22" s="1111"/>
      <c r="GX22" s="1111"/>
      <c r="GY22" s="1111"/>
      <c r="GZ22" s="1111"/>
      <c r="HA22" s="1111"/>
      <c r="HB22" s="1111"/>
      <c r="HC22" s="1111"/>
      <c r="HD22" s="1111"/>
      <c r="HE22" s="1111"/>
      <c r="HF22" s="1111"/>
      <c r="HG22" s="1111"/>
      <c r="HH22" s="1111"/>
      <c r="HI22" s="1111"/>
      <c r="HJ22" s="1111"/>
      <c r="HK22" s="1111"/>
      <c r="HL22" s="1111"/>
      <c r="HM22" s="1111"/>
      <c r="HN22" s="1111"/>
      <c r="HO22" s="1111"/>
      <c r="HP22" s="1111"/>
      <c r="HQ22" s="1111"/>
      <c r="HR22" s="1111"/>
      <c r="HS22" s="1111"/>
      <c r="HT22" s="1111"/>
      <c r="HU22" s="1111"/>
      <c r="HV22" s="1111"/>
      <c r="HW22" s="1111"/>
      <c r="HX22" s="1111"/>
      <c r="HY22" s="1111"/>
      <c r="HZ22" s="1111"/>
      <c r="IA22" s="1111"/>
      <c r="IB22" s="1111"/>
      <c r="IC22" s="1111"/>
      <c r="ID22" s="1111"/>
      <c r="IE22" s="1111"/>
      <c r="IF22" s="1111"/>
      <c r="IG22" s="1111"/>
      <c r="IH22" s="1111"/>
      <c r="II22" s="1111"/>
      <c r="IJ22" s="1111"/>
      <c r="IK22" s="1111"/>
      <c r="IL22" s="1111"/>
      <c r="IM22" s="1111"/>
      <c r="IN22" s="1111"/>
      <c r="IO22" s="1111"/>
      <c r="IP22" s="1111"/>
      <c r="IQ22" s="1111"/>
      <c r="IR22" s="1111"/>
      <c r="IS22" s="1111"/>
      <c r="IT22" s="1111"/>
      <c r="IU22" s="1111"/>
      <c r="IV22" s="1111"/>
    </row>
    <row r="23" s="1083" customFormat="1" ht="18.6" customHeight="1" spans="1:256">
      <c r="A23" s="1098" t="s">
        <v>133</v>
      </c>
      <c r="B23" s="1099">
        <f>资产负债表!B23/资产负债表!B37</f>
        <v>0.00480998844786367</v>
      </c>
      <c r="C23" s="1099">
        <f>资产负债表!C23/资产负债表!C37</f>
        <v>0.00261813452545478</v>
      </c>
      <c r="D23" s="1099">
        <f t="shared" si="2"/>
        <v>0.00219185392240889</v>
      </c>
      <c r="E23" s="1098" t="s">
        <v>134</v>
      </c>
      <c r="F23" s="1100">
        <f>资产负债表!E23/资产负债表!E37</f>
        <v>0</v>
      </c>
      <c r="G23" s="1099">
        <f>资产负债表!F23/资产负债表!F37</f>
        <v>0</v>
      </c>
      <c r="H23" s="1101">
        <f t="shared" si="3"/>
        <v>0</v>
      </c>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c r="AT23" s="1111"/>
      <c r="AU23" s="1111"/>
      <c r="AV23" s="1111"/>
      <c r="AW23" s="1111"/>
      <c r="AX23" s="1111"/>
      <c r="AY23" s="1111"/>
      <c r="AZ23" s="1111"/>
      <c r="BA23" s="1111"/>
      <c r="BB23" s="1111"/>
      <c r="BC23" s="1111"/>
      <c r="BD23" s="1111"/>
      <c r="BE23" s="1111"/>
      <c r="BF23" s="1111"/>
      <c r="BG23" s="1111"/>
      <c r="BH23" s="1111"/>
      <c r="BI23" s="1111"/>
      <c r="BJ23" s="1111"/>
      <c r="BK23" s="1111"/>
      <c r="BL23" s="1111"/>
      <c r="BM23" s="1111"/>
      <c r="BN23" s="1111"/>
      <c r="BO23" s="1111"/>
      <c r="BP23" s="1111"/>
      <c r="BQ23" s="1111"/>
      <c r="BR23" s="1111"/>
      <c r="BS23" s="1111"/>
      <c r="BT23" s="1111"/>
      <c r="BU23" s="1111"/>
      <c r="BV23" s="1111"/>
      <c r="BW23" s="1111"/>
      <c r="BX23" s="1111"/>
      <c r="BY23" s="1111"/>
      <c r="BZ23" s="1111"/>
      <c r="CA23" s="1111"/>
      <c r="CB23" s="1111"/>
      <c r="CC23" s="1111"/>
      <c r="CD23" s="1111"/>
      <c r="CE23" s="1111"/>
      <c r="CF23" s="1111"/>
      <c r="CG23" s="1111"/>
      <c r="CH23" s="1111"/>
      <c r="CI23" s="1111"/>
      <c r="CJ23" s="1111"/>
      <c r="CK23" s="1111"/>
      <c r="CL23" s="1111"/>
      <c r="CM23" s="1111"/>
      <c r="CN23" s="1111"/>
      <c r="CO23" s="1111"/>
      <c r="CP23" s="1111"/>
      <c r="CQ23" s="1111"/>
      <c r="CR23" s="1111"/>
      <c r="CS23" s="1111"/>
      <c r="CT23" s="1111"/>
      <c r="CU23" s="1111"/>
      <c r="CV23" s="1111"/>
      <c r="CW23" s="1111"/>
      <c r="CX23" s="1111"/>
      <c r="CY23" s="1111"/>
      <c r="CZ23" s="1111"/>
      <c r="DA23" s="1111"/>
      <c r="DB23" s="1111"/>
      <c r="DC23" s="1111"/>
      <c r="DD23" s="1111"/>
      <c r="DE23" s="1111"/>
      <c r="DF23" s="1111"/>
      <c r="DG23" s="1111"/>
      <c r="DH23" s="1111"/>
      <c r="DI23" s="1111"/>
      <c r="DJ23" s="1111"/>
      <c r="DK23" s="1111"/>
      <c r="DL23" s="1111"/>
      <c r="DM23" s="1111"/>
      <c r="DN23" s="1111"/>
      <c r="DO23" s="1111"/>
      <c r="DP23" s="1111"/>
      <c r="DQ23" s="1111"/>
      <c r="DR23" s="1111"/>
      <c r="DS23" s="1111"/>
      <c r="DT23" s="1111"/>
      <c r="DU23" s="1111"/>
      <c r="DV23" s="1111"/>
      <c r="DW23" s="1111"/>
      <c r="DX23" s="1111"/>
      <c r="DY23" s="1111"/>
      <c r="DZ23" s="1111"/>
      <c r="EA23" s="1111"/>
      <c r="EB23" s="1111"/>
      <c r="EC23" s="1111"/>
      <c r="ED23" s="1111"/>
      <c r="EE23" s="1111"/>
      <c r="EF23" s="1111"/>
      <c r="EG23" s="1111"/>
      <c r="EH23" s="1111"/>
      <c r="EI23" s="1111"/>
      <c r="EJ23" s="1111"/>
      <c r="EK23" s="1111"/>
      <c r="EL23" s="1111"/>
      <c r="EM23" s="1111"/>
      <c r="EN23" s="1111"/>
      <c r="EO23" s="1111"/>
      <c r="EP23" s="1111"/>
      <c r="EQ23" s="1111"/>
      <c r="ER23" s="1111"/>
      <c r="ES23" s="1111"/>
      <c r="ET23" s="1111"/>
      <c r="EU23" s="1111"/>
      <c r="EV23" s="1111"/>
      <c r="EW23" s="1111"/>
      <c r="EX23" s="1111"/>
      <c r="EY23" s="1111"/>
      <c r="EZ23" s="1111"/>
      <c r="FA23" s="1111"/>
      <c r="FB23" s="1111"/>
      <c r="FC23" s="1111"/>
      <c r="FD23" s="1111"/>
      <c r="FE23" s="1111"/>
      <c r="FF23" s="1111"/>
      <c r="FG23" s="1111"/>
      <c r="FH23" s="1111"/>
      <c r="FI23" s="1111"/>
      <c r="FJ23" s="1111"/>
      <c r="FK23" s="1111"/>
      <c r="FL23" s="1111"/>
      <c r="FM23" s="1111"/>
      <c r="FN23" s="1111"/>
      <c r="FO23" s="1111"/>
      <c r="FP23" s="1111"/>
      <c r="FQ23" s="1111"/>
      <c r="FR23" s="1111"/>
      <c r="FS23" s="1111"/>
      <c r="FT23" s="1111"/>
      <c r="FU23" s="1111"/>
      <c r="FV23" s="1111"/>
      <c r="FW23" s="1111"/>
      <c r="FX23" s="1111"/>
      <c r="FY23" s="1111"/>
      <c r="FZ23" s="1111"/>
      <c r="GA23" s="1111"/>
      <c r="GB23" s="1111"/>
      <c r="GC23" s="1111"/>
      <c r="GD23" s="1111"/>
      <c r="GE23" s="1111"/>
      <c r="GF23" s="1111"/>
      <c r="GG23" s="1111"/>
      <c r="GH23" s="1111"/>
      <c r="GI23" s="1111"/>
      <c r="GJ23" s="1111"/>
      <c r="GK23" s="1111"/>
      <c r="GL23" s="1111"/>
      <c r="GM23" s="1111"/>
      <c r="GN23" s="1111"/>
      <c r="GO23" s="1111"/>
      <c r="GP23" s="1111"/>
      <c r="GQ23" s="1111"/>
      <c r="GR23" s="1111"/>
      <c r="GS23" s="1111"/>
      <c r="GT23" s="1111"/>
      <c r="GU23" s="1111"/>
      <c r="GV23" s="1111"/>
      <c r="GW23" s="1111"/>
      <c r="GX23" s="1111"/>
      <c r="GY23" s="1111"/>
      <c r="GZ23" s="1111"/>
      <c r="HA23" s="1111"/>
      <c r="HB23" s="1111"/>
      <c r="HC23" s="1111"/>
      <c r="HD23" s="1111"/>
      <c r="HE23" s="1111"/>
      <c r="HF23" s="1111"/>
      <c r="HG23" s="1111"/>
      <c r="HH23" s="1111"/>
      <c r="HI23" s="1111"/>
      <c r="HJ23" s="1111"/>
      <c r="HK23" s="1111"/>
      <c r="HL23" s="1111"/>
      <c r="HM23" s="1111"/>
      <c r="HN23" s="1111"/>
      <c r="HO23" s="1111"/>
      <c r="HP23" s="1111"/>
      <c r="HQ23" s="1111"/>
      <c r="HR23" s="1111"/>
      <c r="HS23" s="1111"/>
      <c r="HT23" s="1111"/>
      <c r="HU23" s="1111"/>
      <c r="HV23" s="1111"/>
      <c r="HW23" s="1111"/>
      <c r="HX23" s="1111"/>
      <c r="HY23" s="1111"/>
      <c r="HZ23" s="1111"/>
      <c r="IA23" s="1111"/>
      <c r="IB23" s="1111"/>
      <c r="IC23" s="1111"/>
      <c r="ID23" s="1111"/>
      <c r="IE23" s="1111"/>
      <c r="IF23" s="1111"/>
      <c r="IG23" s="1111"/>
      <c r="IH23" s="1111"/>
      <c r="II23" s="1111"/>
      <c r="IJ23" s="1111"/>
      <c r="IK23" s="1111"/>
      <c r="IL23" s="1111"/>
      <c r="IM23" s="1111"/>
      <c r="IN23" s="1111"/>
      <c r="IO23" s="1111"/>
      <c r="IP23" s="1111"/>
      <c r="IQ23" s="1111"/>
      <c r="IR23" s="1111"/>
      <c r="IS23" s="1111"/>
      <c r="IT23" s="1111"/>
      <c r="IU23" s="1111"/>
      <c r="IV23" s="1111"/>
    </row>
    <row r="24" s="1083" customFormat="1" ht="18.6" customHeight="1" spans="1:256">
      <c r="A24" s="1098" t="s">
        <v>135</v>
      </c>
      <c r="B24" s="1099">
        <f>资产负债表!B24/资产负债表!B37</f>
        <v>0.120947737808686</v>
      </c>
      <c r="C24" s="1099">
        <f>资产负债表!C25/资产负债表!C37</f>
        <v>1.62939065233395e-5</v>
      </c>
      <c r="D24" s="1099">
        <f t="shared" si="2"/>
        <v>0.120931443902163</v>
      </c>
      <c r="E24" s="1098" t="s">
        <v>136</v>
      </c>
      <c r="F24" s="1100">
        <f>资产负债表!E24/资产负债表!E37</f>
        <v>0</v>
      </c>
      <c r="G24" s="1099">
        <f>资产负债表!F24/资产负债表!F37</f>
        <v>0</v>
      </c>
      <c r="H24" s="1101">
        <f t="shared" si="3"/>
        <v>0</v>
      </c>
      <c r="I24" s="1111"/>
      <c r="J24" s="1111"/>
      <c r="K24" s="1111"/>
      <c r="L24" s="1111"/>
      <c r="M24" s="1111"/>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c r="AL24" s="1111"/>
      <c r="AM24" s="1111"/>
      <c r="AN24" s="1111"/>
      <c r="AO24" s="1111"/>
      <c r="AP24" s="1111"/>
      <c r="AQ24" s="1111"/>
      <c r="AR24" s="1111"/>
      <c r="AS24" s="1111"/>
      <c r="AT24" s="1111"/>
      <c r="AU24" s="1111"/>
      <c r="AV24" s="1111"/>
      <c r="AW24" s="1111"/>
      <c r="AX24" s="1111"/>
      <c r="AY24" s="1111"/>
      <c r="AZ24" s="1111"/>
      <c r="BA24" s="1111"/>
      <c r="BB24" s="1111"/>
      <c r="BC24" s="1111"/>
      <c r="BD24" s="1111"/>
      <c r="BE24" s="1111"/>
      <c r="BF24" s="1111"/>
      <c r="BG24" s="1111"/>
      <c r="BH24" s="1111"/>
      <c r="BI24" s="1111"/>
      <c r="BJ24" s="1111"/>
      <c r="BK24" s="1111"/>
      <c r="BL24" s="1111"/>
      <c r="BM24" s="1111"/>
      <c r="BN24" s="1111"/>
      <c r="BO24" s="1111"/>
      <c r="BP24" s="1111"/>
      <c r="BQ24" s="1111"/>
      <c r="BR24" s="1111"/>
      <c r="BS24" s="1111"/>
      <c r="BT24" s="1111"/>
      <c r="BU24" s="1111"/>
      <c r="BV24" s="1111"/>
      <c r="BW24" s="1111"/>
      <c r="BX24" s="1111"/>
      <c r="BY24" s="1111"/>
      <c r="BZ24" s="1111"/>
      <c r="CA24" s="1111"/>
      <c r="CB24" s="1111"/>
      <c r="CC24" s="1111"/>
      <c r="CD24" s="1111"/>
      <c r="CE24" s="1111"/>
      <c r="CF24" s="1111"/>
      <c r="CG24" s="1111"/>
      <c r="CH24" s="1111"/>
      <c r="CI24" s="1111"/>
      <c r="CJ24" s="1111"/>
      <c r="CK24" s="1111"/>
      <c r="CL24" s="1111"/>
      <c r="CM24" s="1111"/>
      <c r="CN24" s="1111"/>
      <c r="CO24" s="1111"/>
      <c r="CP24" s="1111"/>
      <c r="CQ24" s="1111"/>
      <c r="CR24" s="1111"/>
      <c r="CS24" s="1111"/>
      <c r="CT24" s="1111"/>
      <c r="CU24" s="1111"/>
      <c r="CV24" s="1111"/>
      <c r="CW24" s="1111"/>
      <c r="CX24" s="1111"/>
      <c r="CY24" s="1111"/>
      <c r="CZ24" s="1111"/>
      <c r="DA24" s="1111"/>
      <c r="DB24" s="1111"/>
      <c r="DC24" s="1111"/>
      <c r="DD24" s="1111"/>
      <c r="DE24" s="1111"/>
      <c r="DF24" s="1111"/>
      <c r="DG24" s="1111"/>
      <c r="DH24" s="1111"/>
      <c r="DI24" s="1111"/>
      <c r="DJ24" s="1111"/>
      <c r="DK24" s="1111"/>
      <c r="DL24" s="1111"/>
      <c r="DM24" s="1111"/>
      <c r="DN24" s="1111"/>
      <c r="DO24" s="1111"/>
      <c r="DP24" s="1111"/>
      <c r="DQ24" s="1111"/>
      <c r="DR24" s="1111"/>
      <c r="DS24" s="1111"/>
      <c r="DT24" s="1111"/>
      <c r="DU24" s="1111"/>
      <c r="DV24" s="1111"/>
      <c r="DW24" s="1111"/>
      <c r="DX24" s="1111"/>
      <c r="DY24" s="1111"/>
      <c r="DZ24" s="1111"/>
      <c r="EA24" s="1111"/>
      <c r="EB24" s="1111"/>
      <c r="EC24" s="1111"/>
      <c r="ED24" s="1111"/>
      <c r="EE24" s="1111"/>
      <c r="EF24" s="1111"/>
      <c r="EG24" s="1111"/>
      <c r="EH24" s="1111"/>
      <c r="EI24" s="1111"/>
      <c r="EJ24" s="1111"/>
      <c r="EK24" s="1111"/>
      <c r="EL24" s="1111"/>
      <c r="EM24" s="1111"/>
      <c r="EN24" s="1111"/>
      <c r="EO24" s="1111"/>
      <c r="EP24" s="1111"/>
      <c r="EQ24" s="1111"/>
      <c r="ER24" s="1111"/>
      <c r="ES24" s="1111"/>
      <c r="ET24" s="1111"/>
      <c r="EU24" s="1111"/>
      <c r="EV24" s="1111"/>
      <c r="EW24" s="1111"/>
      <c r="EX24" s="1111"/>
      <c r="EY24" s="1111"/>
      <c r="EZ24" s="1111"/>
      <c r="FA24" s="1111"/>
      <c r="FB24" s="1111"/>
      <c r="FC24" s="1111"/>
      <c r="FD24" s="1111"/>
      <c r="FE24" s="1111"/>
      <c r="FF24" s="1111"/>
      <c r="FG24" s="1111"/>
      <c r="FH24" s="1111"/>
      <c r="FI24" s="1111"/>
      <c r="FJ24" s="1111"/>
      <c r="FK24" s="1111"/>
      <c r="FL24" s="1111"/>
      <c r="FM24" s="1111"/>
      <c r="FN24" s="1111"/>
      <c r="FO24" s="1111"/>
      <c r="FP24" s="1111"/>
      <c r="FQ24" s="1111"/>
      <c r="FR24" s="1111"/>
      <c r="FS24" s="1111"/>
      <c r="FT24" s="1111"/>
      <c r="FU24" s="1111"/>
      <c r="FV24" s="1111"/>
      <c r="FW24" s="1111"/>
      <c r="FX24" s="1111"/>
      <c r="FY24" s="1111"/>
      <c r="FZ24" s="1111"/>
      <c r="GA24" s="1111"/>
      <c r="GB24" s="1111"/>
      <c r="GC24" s="1111"/>
      <c r="GD24" s="1111"/>
      <c r="GE24" s="1111"/>
      <c r="GF24" s="1111"/>
      <c r="GG24" s="1111"/>
      <c r="GH24" s="1111"/>
      <c r="GI24" s="1111"/>
      <c r="GJ24" s="1111"/>
      <c r="GK24" s="1111"/>
      <c r="GL24" s="1111"/>
      <c r="GM24" s="1111"/>
      <c r="GN24" s="1111"/>
      <c r="GO24" s="1111"/>
      <c r="GP24" s="1111"/>
      <c r="GQ24" s="1111"/>
      <c r="GR24" s="1111"/>
      <c r="GS24" s="1111"/>
      <c r="GT24" s="1111"/>
      <c r="GU24" s="1111"/>
      <c r="GV24" s="1111"/>
      <c r="GW24" s="1111"/>
      <c r="GX24" s="1111"/>
      <c r="GY24" s="1111"/>
      <c r="GZ24" s="1111"/>
      <c r="HA24" s="1111"/>
      <c r="HB24" s="1111"/>
      <c r="HC24" s="1111"/>
      <c r="HD24" s="1111"/>
      <c r="HE24" s="1111"/>
      <c r="HF24" s="1111"/>
      <c r="HG24" s="1111"/>
      <c r="HH24" s="1111"/>
      <c r="HI24" s="1111"/>
      <c r="HJ24" s="1111"/>
      <c r="HK24" s="1111"/>
      <c r="HL24" s="1111"/>
      <c r="HM24" s="1111"/>
      <c r="HN24" s="1111"/>
      <c r="HO24" s="1111"/>
      <c r="HP24" s="1111"/>
      <c r="HQ24" s="1111"/>
      <c r="HR24" s="1111"/>
      <c r="HS24" s="1111"/>
      <c r="HT24" s="1111"/>
      <c r="HU24" s="1111"/>
      <c r="HV24" s="1111"/>
      <c r="HW24" s="1111"/>
      <c r="HX24" s="1111"/>
      <c r="HY24" s="1111"/>
      <c r="HZ24" s="1111"/>
      <c r="IA24" s="1111"/>
      <c r="IB24" s="1111"/>
      <c r="IC24" s="1111"/>
      <c r="ID24" s="1111"/>
      <c r="IE24" s="1111"/>
      <c r="IF24" s="1111"/>
      <c r="IG24" s="1111"/>
      <c r="IH24" s="1111"/>
      <c r="II24" s="1111"/>
      <c r="IJ24" s="1111"/>
      <c r="IK24" s="1111"/>
      <c r="IL24" s="1111"/>
      <c r="IM24" s="1111"/>
      <c r="IN24" s="1111"/>
      <c r="IO24" s="1111"/>
      <c r="IP24" s="1111"/>
      <c r="IQ24" s="1111"/>
      <c r="IR24" s="1111"/>
      <c r="IS24" s="1111"/>
      <c r="IT24" s="1111"/>
      <c r="IU24" s="1111"/>
      <c r="IV24" s="1111"/>
    </row>
    <row r="25" s="1083" customFormat="1" ht="18.6" customHeight="1" spans="1:256">
      <c r="A25" s="1098" t="s">
        <v>137</v>
      </c>
      <c r="B25" s="1099">
        <f>资产负债表!B25/资产负债表!B37</f>
        <v>0.0302369344521716</v>
      </c>
      <c r="C25" s="1099">
        <f>资产负债表!C25/资产负债表!C37</f>
        <v>1.62939065233395e-5</v>
      </c>
      <c r="D25" s="1099">
        <f t="shared" si="2"/>
        <v>0.0302206405456482</v>
      </c>
      <c r="E25" s="1098" t="s">
        <v>138</v>
      </c>
      <c r="F25" s="1100">
        <f>资产负债表!E25/资产负债表!E37</f>
        <v>0</v>
      </c>
      <c r="G25" s="1099">
        <f>资产负债表!F25/资产负债表!F37</f>
        <v>0</v>
      </c>
      <c r="H25" s="1101">
        <f t="shared" si="3"/>
        <v>0</v>
      </c>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1"/>
      <c r="AK25" s="1111"/>
      <c r="AL25" s="1111"/>
      <c r="AM25" s="1111"/>
      <c r="AN25" s="1111"/>
      <c r="AO25" s="1111"/>
      <c r="AP25" s="1111"/>
      <c r="AQ25" s="1111"/>
      <c r="AR25" s="1111"/>
      <c r="AS25" s="1111"/>
      <c r="AT25" s="1111"/>
      <c r="AU25" s="1111"/>
      <c r="AV25" s="1111"/>
      <c r="AW25" s="1111"/>
      <c r="AX25" s="1111"/>
      <c r="AY25" s="1111"/>
      <c r="AZ25" s="1111"/>
      <c r="BA25" s="1111"/>
      <c r="BB25" s="1111"/>
      <c r="BC25" s="1111"/>
      <c r="BD25" s="1111"/>
      <c r="BE25" s="1111"/>
      <c r="BF25" s="1111"/>
      <c r="BG25" s="1111"/>
      <c r="BH25" s="1111"/>
      <c r="BI25" s="1111"/>
      <c r="BJ25" s="1111"/>
      <c r="BK25" s="1111"/>
      <c r="BL25" s="1111"/>
      <c r="BM25" s="1111"/>
      <c r="BN25" s="1111"/>
      <c r="BO25" s="1111"/>
      <c r="BP25" s="1111"/>
      <c r="BQ25" s="1111"/>
      <c r="BR25" s="1111"/>
      <c r="BS25" s="1111"/>
      <c r="BT25" s="1111"/>
      <c r="BU25" s="1111"/>
      <c r="BV25" s="1111"/>
      <c r="BW25" s="1111"/>
      <c r="BX25" s="1111"/>
      <c r="BY25" s="1111"/>
      <c r="BZ25" s="1111"/>
      <c r="CA25" s="1111"/>
      <c r="CB25" s="1111"/>
      <c r="CC25" s="1111"/>
      <c r="CD25" s="1111"/>
      <c r="CE25" s="1111"/>
      <c r="CF25" s="1111"/>
      <c r="CG25" s="1111"/>
      <c r="CH25" s="1111"/>
      <c r="CI25" s="1111"/>
      <c r="CJ25" s="1111"/>
      <c r="CK25" s="1111"/>
      <c r="CL25" s="1111"/>
      <c r="CM25" s="1111"/>
      <c r="CN25" s="1111"/>
      <c r="CO25" s="1111"/>
      <c r="CP25" s="1111"/>
      <c r="CQ25" s="1111"/>
      <c r="CR25" s="1111"/>
      <c r="CS25" s="1111"/>
      <c r="CT25" s="1111"/>
      <c r="CU25" s="1111"/>
      <c r="CV25" s="1111"/>
      <c r="CW25" s="1111"/>
      <c r="CX25" s="1111"/>
      <c r="CY25" s="1111"/>
      <c r="CZ25" s="1111"/>
      <c r="DA25" s="1111"/>
      <c r="DB25" s="1111"/>
      <c r="DC25" s="1111"/>
      <c r="DD25" s="1111"/>
      <c r="DE25" s="1111"/>
      <c r="DF25" s="1111"/>
      <c r="DG25" s="1111"/>
      <c r="DH25" s="1111"/>
      <c r="DI25" s="1111"/>
      <c r="DJ25" s="1111"/>
      <c r="DK25" s="1111"/>
      <c r="DL25" s="1111"/>
      <c r="DM25" s="1111"/>
      <c r="DN25" s="1111"/>
      <c r="DO25" s="1111"/>
      <c r="DP25" s="1111"/>
      <c r="DQ25" s="1111"/>
      <c r="DR25" s="1111"/>
      <c r="DS25" s="1111"/>
      <c r="DT25" s="1111"/>
      <c r="DU25" s="1111"/>
      <c r="DV25" s="1111"/>
      <c r="DW25" s="1111"/>
      <c r="DX25" s="1111"/>
      <c r="DY25" s="1111"/>
      <c r="DZ25" s="1111"/>
      <c r="EA25" s="1111"/>
      <c r="EB25" s="1111"/>
      <c r="EC25" s="1111"/>
      <c r="ED25" s="1111"/>
      <c r="EE25" s="1111"/>
      <c r="EF25" s="1111"/>
      <c r="EG25" s="1111"/>
      <c r="EH25" s="1111"/>
      <c r="EI25" s="1111"/>
      <c r="EJ25" s="1111"/>
      <c r="EK25" s="1111"/>
      <c r="EL25" s="1111"/>
      <c r="EM25" s="1111"/>
      <c r="EN25" s="1111"/>
      <c r="EO25" s="1111"/>
      <c r="EP25" s="1111"/>
      <c r="EQ25" s="1111"/>
      <c r="ER25" s="1111"/>
      <c r="ES25" s="1111"/>
      <c r="ET25" s="1111"/>
      <c r="EU25" s="1111"/>
      <c r="EV25" s="1111"/>
      <c r="EW25" s="1111"/>
      <c r="EX25" s="1111"/>
      <c r="EY25" s="1111"/>
      <c r="EZ25" s="1111"/>
      <c r="FA25" s="1111"/>
      <c r="FB25" s="1111"/>
      <c r="FC25" s="1111"/>
      <c r="FD25" s="1111"/>
      <c r="FE25" s="1111"/>
      <c r="FF25" s="1111"/>
      <c r="FG25" s="1111"/>
      <c r="FH25" s="1111"/>
      <c r="FI25" s="1111"/>
      <c r="FJ25" s="1111"/>
      <c r="FK25" s="1111"/>
      <c r="FL25" s="1111"/>
      <c r="FM25" s="1111"/>
      <c r="FN25" s="1111"/>
      <c r="FO25" s="1111"/>
      <c r="FP25" s="1111"/>
      <c r="FQ25" s="1111"/>
      <c r="FR25" s="1111"/>
      <c r="FS25" s="1111"/>
      <c r="FT25" s="1111"/>
      <c r="FU25" s="1111"/>
      <c r="FV25" s="1111"/>
      <c r="FW25" s="1111"/>
      <c r="FX25" s="1111"/>
      <c r="FY25" s="1111"/>
      <c r="FZ25" s="1111"/>
      <c r="GA25" s="1111"/>
      <c r="GB25" s="1111"/>
      <c r="GC25" s="1111"/>
      <c r="GD25" s="1111"/>
      <c r="GE25" s="1111"/>
      <c r="GF25" s="1111"/>
      <c r="GG25" s="1111"/>
      <c r="GH25" s="1111"/>
      <c r="GI25" s="1111"/>
      <c r="GJ25" s="1111"/>
      <c r="GK25" s="1111"/>
      <c r="GL25" s="1111"/>
      <c r="GM25" s="1111"/>
      <c r="GN25" s="1111"/>
      <c r="GO25" s="1111"/>
      <c r="GP25" s="1111"/>
      <c r="GQ25" s="1111"/>
      <c r="GR25" s="1111"/>
      <c r="GS25" s="1111"/>
      <c r="GT25" s="1111"/>
      <c r="GU25" s="1111"/>
      <c r="GV25" s="1111"/>
      <c r="GW25" s="1111"/>
      <c r="GX25" s="1111"/>
      <c r="GY25" s="1111"/>
      <c r="GZ25" s="1111"/>
      <c r="HA25" s="1111"/>
      <c r="HB25" s="1111"/>
      <c r="HC25" s="1111"/>
      <c r="HD25" s="1111"/>
      <c r="HE25" s="1111"/>
      <c r="HF25" s="1111"/>
      <c r="HG25" s="1111"/>
      <c r="HH25" s="1111"/>
      <c r="HI25" s="1111"/>
      <c r="HJ25" s="1111"/>
      <c r="HK25" s="1111"/>
      <c r="HL25" s="1111"/>
      <c r="HM25" s="1111"/>
      <c r="HN25" s="1111"/>
      <c r="HO25" s="1111"/>
      <c r="HP25" s="1111"/>
      <c r="HQ25" s="1111"/>
      <c r="HR25" s="1111"/>
      <c r="HS25" s="1111"/>
      <c r="HT25" s="1111"/>
      <c r="HU25" s="1111"/>
      <c r="HV25" s="1111"/>
      <c r="HW25" s="1111"/>
      <c r="HX25" s="1111"/>
      <c r="HY25" s="1111"/>
      <c r="HZ25" s="1111"/>
      <c r="IA25" s="1111"/>
      <c r="IB25" s="1111"/>
      <c r="IC25" s="1111"/>
      <c r="ID25" s="1111"/>
      <c r="IE25" s="1111"/>
      <c r="IF25" s="1111"/>
      <c r="IG25" s="1111"/>
      <c r="IH25" s="1111"/>
      <c r="II25" s="1111"/>
      <c r="IJ25" s="1111"/>
      <c r="IK25" s="1111"/>
      <c r="IL25" s="1111"/>
      <c r="IM25" s="1111"/>
      <c r="IN25" s="1111"/>
      <c r="IO25" s="1111"/>
      <c r="IP25" s="1111"/>
      <c r="IQ25" s="1111"/>
      <c r="IR25" s="1111"/>
      <c r="IS25" s="1111"/>
      <c r="IT25" s="1111"/>
      <c r="IU25" s="1111"/>
      <c r="IV25" s="1111"/>
    </row>
    <row r="26" s="1083" customFormat="1" ht="18.6" customHeight="1" spans="1:256">
      <c r="A26" s="1098" t="s">
        <v>139</v>
      </c>
      <c r="B26" s="1099">
        <f>资产负债表!B26/资产负债表!B37</f>
        <v>0</v>
      </c>
      <c r="C26" s="1099">
        <f>资产负债表!C26/资产负债表!C37</f>
        <v>0.000248111758423579</v>
      </c>
      <c r="D26" s="1099">
        <f t="shared" si="2"/>
        <v>-0.000248111758423579</v>
      </c>
      <c r="E26" s="1098" t="s">
        <v>140</v>
      </c>
      <c r="F26" s="1100">
        <f>资产负债表!E26/资产负债表!E37</f>
        <v>0</v>
      </c>
      <c r="G26" s="1099">
        <f>资产负债表!F26/资产负债表!F37</f>
        <v>0</v>
      </c>
      <c r="H26" s="1101">
        <f t="shared" si="3"/>
        <v>0</v>
      </c>
      <c r="I26" s="1111"/>
      <c r="J26" s="1111"/>
      <c r="K26" s="1111"/>
      <c r="L26" s="1111"/>
      <c r="M26" s="1111"/>
      <c r="N26" s="1111"/>
      <c r="O26" s="1111"/>
      <c r="P26" s="1111"/>
      <c r="Q26" s="1111"/>
      <c r="R26" s="1111"/>
      <c r="S26" s="1111"/>
      <c r="T26" s="1111"/>
      <c r="U26" s="1111"/>
      <c r="V26" s="1111"/>
      <c r="W26" s="1111"/>
      <c r="X26" s="1111"/>
      <c r="Y26" s="1111"/>
      <c r="Z26" s="1111"/>
      <c r="AA26" s="1111"/>
      <c r="AB26" s="1111"/>
      <c r="AC26" s="1111"/>
      <c r="AD26" s="1111"/>
      <c r="AE26" s="1111"/>
      <c r="AF26" s="1111"/>
      <c r="AG26" s="1111"/>
      <c r="AH26" s="1111"/>
      <c r="AI26" s="1111"/>
      <c r="AJ26" s="1111"/>
      <c r="AK26" s="1111"/>
      <c r="AL26" s="1111"/>
      <c r="AM26" s="1111"/>
      <c r="AN26" s="1111"/>
      <c r="AO26" s="1111"/>
      <c r="AP26" s="1111"/>
      <c r="AQ26" s="1111"/>
      <c r="AR26" s="1111"/>
      <c r="AS26" s="1111"/>
      <c r="AT26" s="1111"/>
      <c r="AU26" s="1111"/>
      <c r="AV26" s="1111"/>
      <c r="AW26" s="1111"/>
      <c r="AX26" s="1111"/>
      <c r="AY26" s="1111"/>
      <c r="AZ26" s="1111"/>
      <c r="BA26" s="1111"/>
      <c r="BB26" s="1111"/>
      <c r="BC26" s="1111"/>
      <c r="BD26" s="1111"/>
      <c r="BE26" s="1111"/>
      <c r="BF26" s="1111"/>
      <c r="BG26" s="1111"/>
      <c r="BH26" s="1111"/>
      <c r="BI26" s="1111"/>
      <c r="BJ26" s="1111"/>
      <c r="BK26" s="1111"/>
      <c r="BL26" s="1111"/>
      <c r="BM26" s="1111"/>
      <c r="BN26" s="1111"/>
      <c r="BO26" s="1111"/>
      <c r="BP26" s="1111"/>
      <c r="BQ26" s="1111"/>
      <c r="BR26" s="1111"/>
      <c r="BS26" s="1111"/>
      <c r="BT26" s="1111"/>
      <c r="BU26" s="1111"/>
      <c r="BV26" s="1111"/>
      <c r="BW26" s="1111"/>
      <c r="BX26" s="1111"/>
      <c r="BY26" s="1111"/>
      <c r="BZ26" s="1111"/>
      <c r="CA26" s="1111"/>
      <c r="CB26" s="1111"/>
      <c r="CC26" s="1111"/>
      <c r="CD26" s="1111"/>
      <c r="CE26" s="1111"/>
      <c r="CF26" s="1111"/>
      <c r="CG26" s="1111"/>
      <c r="CH26" s="1111"/>
      <c r="CI26" s="1111"/>
      <c r="CJ26" s="1111"/>
      <c r="CK26" s="1111"/>
      <c r="CL26" s="1111"/>
      <c r="CM26" s="1111"/>
      <c r="CN26" s="1111"/>
      <c r="CO26" s="1111"/>
      <c r="CP26" s="1111"/>
      <c r="CQ26" s="1111"/>
      <c r="CR26" s="1111"/>
      <c r="CS26" s="1111"/>
      <c r="CT26" s="1111"/>
      <c r="CU26" s="1111"/>
      <c r="CV26" s="1111"/>
      <c r="CW26" s="1111"/>
      <c r="CX26" s="1111"/>
      <c r="CY26" s="1111"/>
      <c r="CZ26" s="1111"/>
      <c r="DA26" s="1111"/>
      <c r="DB26" s="1111"/>
      <c r="DC26" s="1111"/>
      <c r="DD26" s="1111"/>
      <c r="DE26" s="1111"/>
      <c r="DF26" s="1111"/>
      <c r="DG26" s="1111"/>
      <c r="DH26" s="1111"/>
      <c r="DI26" s="1111"/>
      <c r="DJ26" s="1111"/>
      <c r="DK26" s="1111"/>
      <c r="DL26" s="1111"/>
      <c r="DM26" s="1111"/>
      <c r="DN26" s="1111"/>
      <c r="DO26" s="1111"/>
      <c r="DP26" s="1111"/>
      <c r="DQ26" s="1111"/>
      <c r="DR26" s="1111"/>
      <c r="DS26" s="1111"/>
      <c r="DT26" s="1111"/>
      <c r="DU26" s="1111"/>
      <c r="DV26" s="1111"/>
      <c r="DW26" s="1111"/>
      <c r="DX26" s="1111"/>
      <c r="DY26" s="1111"/>
      <c r="DZ26" s="1111"/>
      <c r="EA26" s="1111"/>
      <c r="EB26" s="1111"/>
      <c r="EC26" s="1111"/>
      <c r="ED26" s="1111"/>
      <c r="EE26" s="1111"/>
      <c r="EF26" s="1111"/>
      <c r="EG26" s="1111"/>
      <c r="EH26" s="1111"/>
      <c r="EI26" s="1111"/>
      <c r="EJ26" s="1111"/>
      <c r="EK26" s="1111"/>
      <c r="EL26" s="1111"/>
      <c r="EM26" s="1111"/>
      <c r="EN26" s="1111"/>
      <c r="EO26" s="1111"/>
      <c r="EP26" s="1111"/>
      <c r="EQ26" s="1111"/>
      <c r="ER26" s="1111"/>
      <c r="ES26" s="1111"/>
      <c r="ET26" s="1111"/>
      <c r="EU26" s="1111"/>
      <c r="EV26" s="1111"/>
      <c r="EW26" s="1111"/>
      <c r="EX26" s="1111"/>
      <c r="EY26" s="1111"/>
      <c r="EZ26" s="1111"/>
      <c r="FA26" s="1111"/>
      <c r="FB26" s="1111"/>
      <c r="FC26" s="1111"/>
      <c r="FD26" s="1111"/>
      <c r="FE26" s="1111"/>
      <c r="FF26" s="1111"/>
      <c r="FG26" s="1111"/>
      <c r="FH26" s="1111"/>
      <c r="FI26" s="1111"/>
      <c r="FJ26" s="1111"/>
      <c r="FK26" s="1111"/>
      <c r="FL26" s="1111"/>
      <c r="FM26" s="1111"/>
      <c r="FN26" s="1111"/>
      <c r="FO26" s="1111"/>
      <c r="FP26" s="1111"/>
      <c r="FQ26" s="1111"/>
      <c r="FR26" s="1111"/>
      <c r="FS26" s="1111"/>
      <c r="FT26" s="1111"/>
      <c r="FU26" s="1111"/>
      <c r="FV26" s="1111"/>
      <c r="FW26" s="1111"/>
      <c r="FX26" s="1111"/>
      <c r="FY26" s="1111"/>
      <c r="FZ26" s="1111"/>
      <c r="GA26" s="1111"/>
      <c r="GB26" s="1111"/>
      <c r="GC26" s="1111"/>
      <c r="GD26" s="1111"/>
      <c r="GE26" s="1111"/>
      <c r="GF26" s="1111"/>
      <c r="GG26" s="1111"/>
      <c r="GH26" s="1111"/>
      <c r="GI26" s="1111"/>
      <c r="GJ26" s="1111"/>
      <c r="GK26" s="1111"/>
      <c r="GL26" s="1111"/>
      <c r="GM26" s="1111"/>
      <c r="GN26" s="1111"/>
      <c r="GO26" s="1111"/>
      <c r="GP26" s="1111"/>
      <c r="GQ26" s="1111"/>
      <c r="GR26" s="1111"/>
      <c r="GS26" s="1111"/>
      <c r="GT26" s="1111"/>
      <c r="GU26" s="1111"/>
      <c r="GV26" s="1111"/>
      <c r="GW26" s="1111"/>
      <c r="GX26" s="1111"/>
      <c r="GY26" s="1111"/>
      <c r="GZ26" s="1111"/>
      <c r="HA26" s="1111"/>
      <c r="HB26" s="1111"/>
      <c r="HC26" s="1111"/>
      <c r="HD26" s="1111"/>
      <c r="HE26" s="1111"/>
      <c r="HF26" s="1111"/>
      <c r="HG26" s="1111"/>
      <c r="HH26" s="1111"/>
      <c r="HI26" s="1111"/>
      <c r="HJ26" s="1111"/>
      <c r="HK26" s="1111"/>
      <c r="HL26" s="1111"/>
      <c r="HM26" s="1111"/>
      <c r="HN26" s="1111"/>
      <c r="HO26" s="1111"/>
      <c r="HP26" s="1111"/>
      <c r="HQ26" s="1111"/>
      <c r="HR26" s="1111"/>
      <c r="HS26" s="1111"/>
      <c r="HT26" s="1111"/>
      <c r="HU26" s="1111"/>
      <c r="HV26" s="1111"/>
      <c r="HW26" s="1111"/>
      <c r="HX26" s="1111"/>
      <c r="HY26" s="1111"/>
      <c r="HZ26" s="1111"/>
      <c r="IA26" s="1111"/>
      <c r="IB26" s="1111"/>
      <c r="IC26" s="1111"/>
      <c r="ID26" s="1111"/>
      <c r="IE26" s="1111"/>
      <c r="IF26" s="1111"/>
      <c r="IG26" s="1111"/>
      <c r="IH26" s="1111"/>
      <c r="II26" s="1111"/>
      <c r="IJ26" s="1111"/>
      <c r="IK26" s="1111"/>
      <c r="IL26" s="1111"/>
      <c r="IM26" s="1111"/>
      <c r="IN26" s="1111"/>
      <c r="IO26" s="1111"/>
      <c r="IP26" s="1111"/>
      <c r="IQ26" s="1111"/>
      <c r="IR26" s="1111"/>
      <c r="IS26" s="1111"/>
      <c r="IT26" s="1111"/>
      <c r="IU26" s="1111"/>
      <c r="IV26" s="1111"/>
    </row>
    <row r="27" s="1083" customFormat="1" ht="18.6" customHeight="1" spans="1:256">
      <c r="A27" s="1098" t="s">
        <v>141</v>
      </c>
      <c r="B27" s="1099">
        <f>资产负债表!B27/资产负债表!B37</f>
        <v>0</v>
      </c>
      <c r="C27" s="1099">
        <f>资产负债表!C27/资产负债表!C37</f>
        <v>0</v>
      </c>
      <c r="D27" s="1099">
        <f t="shared" si="2"/>
        <v>0</v>
      </c>
      <c r="E27" s="1102" t="s">
        <v>142</v>
      </c>
      <c r="F27" s="1100">
        <f>资产负债表!E27/资产负债表!E37</f>
        <v>0</v>
      </c>
      <c r="G27" s="1099">
        <f>资产负债表!F27/资产负债表!F37</f>
        <v>0</v>
      </c>
      <c r="H27" s="1101">
        <f t="shared" si="3"/>
        <v>0</v>
      </c>
      <c r="I27" s="1111"/>
      <c r="J27" s="1111"/>
      <c r="K27" s="1111"/>
      <c r="L27" s="1111"/>
      <c r="M27" s="1111"/>
      <c r="N27" s="1111"/>
      <c r="O27" s="1111"/>
      <c r="P27" s="1111"/>
      <c r="Q27" s="1111"/>
      <c r="R27" s="1111"/>
      <c r="S27" s="1111"/>
      <c r="T27" s="1111"/>
      <c r="U27" s="1111"/>
      <c r="V27" s="1111"/>
      <c r="W27" s="1111"/>
      <c r="X27" s="1111"/>
      <c r="Y27" s="1111"/>
      <c r="Z27" s="1111"/>
      <c r="AA27" s="1111"/>
      <c r="AB27" s="1111"/>
      <c r="AC27" s="1111"/>
      <c r="AD27" s="1111"/>
      <c r="AE27" s="1111"/>
      <c r="AF27" s="1111"/>
      <c r="AG27" s="1111"/>
      <c r="AH27" s="1111"/>
      <c r="AI27" s="1111"/>
      <c r="AJ27" s="1111"/>
      <c r="AK27" s="1111"/>
      <c r="AL27" s="1111"/>
      <c r="AM27" s="1111"/>
      <c r="AN27" s="1111"/>
      <c r="AO27" s="1111"/>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Q27" s="1111"/>
      <c r="CR27" s="1111"/>
      <c r="CS27" s="1111"/>
      <c r="CT27" s="1111"/>
      <c r="CU27" s="1111"/>
      <c r="CV27" s="1111"/>
      <c r="CW27" s="1111"/>
      <c r="CX27" s="1111"/>
      <c r="CY27" s="1111"/>
      <c r="CZ27" s="1111"/>
      <c r="DA27" s="1111"/>
      <c r="DB27" s="1111"/>
      <c r="DC27" s="1111"/>
      <c r="DD27" s="1111"/>
      <c r="DE27" s="1111"/>
      <c r="DF27" s="1111"/>
      <c r="DG27" s="1111"/>
      <c r="DH27" s="1111"/>
      <c r="DI27" s="1111"/>
      <c r="DJ27" s="1111"/>
      <c r="DK27" s="1111"/>
      <c r="DL27" s="1111"/>
      <c r="DM27" s="1111"/>
      <c r="DN27" s="1111"/>
      <c r="DO27" s="1111"/>
      <c r="DP27" s="1111"/>
      <c r="DQ27" s="1111"/>
      <c r="DR27" s="1111"/>
      <c r="DS27" s="1111"/>
      <c r="DT27" s="1111"/>
      <c r="DU27" s="1111"/>
      <c r="DV27" s="1111"/>
      <c r="DW27" s="1111"/>
      <c r="DX27" s="1111"/>
      <c r="DY27" s="1111"/>
      <c r="DZ27" s="1111"/>
      <c r="EA27" s="1111"/>
      <c r="EB27" s="1111"/>
      <c r="EC27" s="1111"/>
      <c r="ED27" s="1111"/>
      <c r="EE27" s="1111"/>
      <c r="EF27" s="1111"/>
      <c r="EG27" s="1111"/>
      <c r="EH27" s="1111"/>
      <c r="EI27" s="1111"/>
      <c r="EJ27" s="1111"/>
      <c r="EK27" s="1111"/>
      <c r="EL27" s="1111"/>
      <c r="EM27" s="1111"/>
      <c r="EN27" s="1111"/>
      <c r="EO27" s="1111"/>
      <c r="EP27" s="1111"/>
      <c r="EQ27" s="1111"/>
      <c r="ER27" s="1111"/>
      <c r="ES27" s="1111"/>
      <c r="ET27" s="1111"/>
      <c r="EU27" s="1111"/>
      <c r="EV27" s="1111"/>
      <c r="EW27" s="1111"/>
      <c r="EX27" s="1111"/>
      <c r="EY27" s="1111"/>
      <c r="EZ27" s="1111"/>
      <c r="FA27" s="1111"/>
      <c r="FB27" s="1111"/>
      <c r="FC27" s="1111"/>
      <c r="FD27" s="1111"/>
      <c r="FE27" s="1111"/>
      <c r="FF27" s="1111"/>
      <c r="FG27" s="1111"/>
      <c r="FH27" s="1111"/>
      <c r="FI27" s="1111"/>
      <c r="FJ27" s="1111"/>
      <c r="FK27" s="1111"/>
      <c r="FL27" s="1111"/>
      <c r="FM27" s="1111"/>
      <c r="FN27" s="1111"/>
      <c r="FO27" s="1111"/>
      <c r="FP27" s="1111"/>
      <c r="FQ27" s="1111"/>
      <c r="FR27" s="1111"/>
      <c r="FS27" s="1111"/>
      <c r="FT27" s="1111"/>
      <c r="FU27" s="1111"/>
      <c r="FV27" s="1111"/>
      <c r="FW27" s="1111"/>
      <c r="FX27" s="1111"/>
      <c r="FY27" s="1111"/>
      <c r="FZ27" s="1111"/>
      <c r="GA27" s="1111"/>
      <c r="GB27" s="1111"/>
      <c r="GC27" s="1111"/>
      <c r="GD27" s="1111"/>
      <c r="GE27" s="1111"/>
      <c r="GF27" s="1111"/>
      <c r="GG27" s="1111"/>
      <c r="GH27" s="1111"/>
      <c r="GI27" s="1111"/>
      <c r="GJ27" s="1111"/>
      <c r="GK27" s="1111"/>
      <c r="GL27" s="1111"/>
      <c r="GM27" s="1111"/>
      <c r="GN27" s="1111"/>
      <c r="GO27" s="1111"/>
      <c r="GP27" s="1111"/>
      <c r="GQ27" s="1111"/>
      <c r="GR27" s="1111"/>
      <c r="GS27" s="1111"/>
      <c r="GT27" s="1111"/>
      <c r="GU27" s="1111"/>
      <c r="GV27" s="1111"/>
      <c r="GW27" s="1111"/>
      <c r="GX27" s="1111"/>
      <c r="GY27" s="1111"/>
      <c r="GZ27" s="1111"/>
      <c r="HA27" s="1111"/>
      <c r="HB27" s="1111"/>
      <c r="HC27" s="1111"/>
      <c r="HD27" s="1111"/>
      <c r="HE27" s="1111"/>
      <c r="HF27" s="1111"/>
      <c r="HG27" s="1111"/>
      <c r="HH27" s="1111"/>
      <c r="HI27" s="1111"/>
      <c r="HJ27" s="1111"/>
      <c r="HK27" s="1111"/>
      <c r="HL27" s="1111"/>
      <c r="HM27" s="1111"/>
      <c r="HN27" s="1111"/>
      <c r="HO27" s="1111"/>
      <c r="HP27" s="1111"/>
      <c r="HQ27" s="1111"/>
      <c r="HR27" s="1111"/>
      <c r="HS27" s="1111"/>
      <c r="HT27" s="1111"/>
      <c r="HU27" s="1111"/>
      <c r="HV27" s="1111"/>
      <c r="HW27" s="1111"/>
      <c r="HX27" s="1111"/>
      <c r="HY27" s="1111"/>
      <c r="HZ27" s="1111"/>
      <c r="IA27" s="1111"/>
      <c r="IB27" s="1111"/>
      <c r="IC27" s="1111"/>
      <c r="ID27" s="1111"/>
      <c r="IE27" s="1111"/>
      <c r="IF27" s="1111"/>
      <c r="IG27" s="1111"/>
      <c r="IH27" s="1111"/>
      <c r="II27" s="1111"/>
      <c r="IJ27" s="1111"/>
      <c r="IK27" s="1111"/>
      <c r="IL27" s="1111"/>
      <c r="IM27" s="1111"/>
      <c r="IN27" s="1111"/>
      <c r="IO27" s="1111"/>
      <c r="IP27" s="1111"/>
      <c r="IQ27" s="1111"/>
      <c r="IR27" s="1111"/>
      <c r="IS27" s="1111"/>
      <c r="IT27" s="1111"/>
      <c r="IU27" s="1111"/>
      <c r="IV27" s="1111"/>
    </row>
    <row r="28" s="1083" customFormat="1" ht="18.6" customHeight="1" spans="1:256">
      <c r="A28" s="1098" t="s">
        <v>143</v>
      </c>
      <c r="B28" s="1099">
        <f>资产负债表!B28/资产负债表!B37</f>
        <v>0</v>
      </c>
      <c r="C28" s="1099">
        <f>资产负债表!C28/资产负债表!C37</f>
        <v>0</v>
      </c>
      <c r="D28" s="1099">
        <f t="shared" si="2"/>
        <v>0</v>
      </c>
      <c r="E28" s="1102" t="s">
        <v>144</v>
      </c>
      <c r="F28" s="1100">
        <f>资产负债表!E28/资产负债表!E37</f>
        <v>0.249479889042996</v>
      </c>
      <c r="G28" s="1099">
        <f>资产负债表!F28/资产负债表!F37</f>
        <v>0.615532428526446</v>
      </c>
      <c r="H28" s="1101">
        <f t="shared" si="3"/>
        <v>-0.36605253948345</v>
      </c>
      <c r="I28" s="1111"/>
      <c r="J28" s="1111"/>
      <c r="K28" s="1111"/>
      <c r="L28" s="1111"/>
      <c r="M28" s="1111"/>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c r="AR28" s="1111"/>
      <c r="AS28" s="1111"/>
      <c r="AT28" s="1111"/>
      <c r="AU28" s="1111"/>
      <c r="AV28" s="1111"/>
      <c r="AW28" s="1111"/>
      <c r="AX28" s="1111"/>
      <c r="AY28" s="1111"/>
      <c r="AZ28" s="1111"/>
      <c r="BA28" s="1111"/>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1"/>
      <c r="CL28" s="1111"/>
      <c r="CM28" s="1111"/>
      <c r="CN28" s="1111"/>
      <c r="CO28" s="1111"/>
      <c r="CP28" s="1111"/>
      <c r="CQ28" s="1111"/>
      <c r="CR28" s="1111"/>
      <c r="CS28" s="1111"/>
      <c r="CT28" s="1111"/>
      <c r="CU28" s="1111"/>
      <c r="CV28" s="1111"/>
      <c r="CW28" s="1111"/>
      <c r="CX28" s="1111"/>
      <c r="CY28" s="1111"/>
      <c r="CZ28" s="1111"/>
      <c r="DA28" s="1111"/>
      <c r="DB28" s="1111"/>
      <c r="DC28" s="1111"/>
      <c r="DD28" s="1111"/>
      <c r="DE28" s="1111"/>
      <c r="DF28" s="1111"/>
      <c r="DG28" s="1111"/>
      <c r="DH28" s="1111"/>
      <c r="DI28" s="1111"/>
      <c r="DJ28" s="1111"/>
      <c r="DK28" s="1111"/>
      <c r="DL28" s="1111"/>
      <c r="DM28" s="1111"/>
      <c r="DN28" s="1111"/>
      <c r="DO28" s="1111"/>
      <c r="DP28" s="1111"/>
      <c r="DQ28" s="1111"/>
      <c r="DR28" s="1111"/>
      <c r="DS28" s="1111"/>
      <c r="DT28" s="1111"/>
      <c r="DU28" s="1111"/>
      <c r="DV28" s="1111"/>
      <c r="DW28" s="1111"/>
      <c r="DX28" s="1111"/>
      <c r="DY28" s="1111"/>
      <c r="DZ28" s="1111"/>
      <c r="EA28" s="1111"/>
      <c r="EB28" s="1111"/>
      <c r="EC28" s="1111"/>
      <c r="ED28" s="1111"/>
      <c r="EE28" s="1111"/>
      <c r="EF28" s="1111"/>
      <c r="EG28" s="1111"/>
      <c r="EH28" s="1111"/>
      <c r="EI28" s="1111"/>
      <c r="EJ28" s="1111"/>
      <c r="EK28" s="1111"/>
      <c r="EL28" s="1111"/>
      <c r="EM28" s="1111"/>
      <c r="EN28" s="1111"/>
      <c r="EO28" s="1111"/>
      <c r="EP28" s="1111"/>
      <c r="EQ28" s="1111"/>
      <c r="ER28" s="1111"/>
      <c r="ES28" s="1111"/>
      <c r="ET28" s="1111"/>
      <c r="EU28" s="1111"/>
      <c r="EV28" s="1111"/>
      <c r="EW28" s="1111"/>
      <c r="EX28" s="1111"/>
      <c r="EY28" s="1111"/>
      <c r="EZ28" s="1111"/>
      <c r="FA28" s="1111"/>
      <c r="FB28" s="1111"/>
      <c r="FC28" s="1111"/>
      <c r="FD28" s="1111"/>
      <c r="FE28" s="1111"/>
      <c r="FF28" s="1111"/>
      <c r="FG28" s="1111"/>
      <c r="FH28" s="1111"/>
      <c r="FI28" s="1111"/>
      <c r="FJ28" s="1111"/>
      <c r="FK28" s="1111"/>
      <c r="FL28" s="1111"/>
      <c r="FM28" s="1111"/>
      <c r="FN28" s="1111"/>
      <c r="FO28" s="1111"/>
      <c r="FP28" s="1111"/>
      <c r="FQ28" s="1111"/>
      <c r="FR28" s="1111"/>
      <c r="FS28" s="1111"/>
      <c r="FT28" s="1111"/>
      <c r="FU28" s="1111"/>
      <c r="FV28" s="1111"/>
      <c r="FW28" s="1111"/>
      <c r="FX28" s="1111"/>
      <c r="FY28" s="1111"/>
      <c r="FZ28" s="1111"/>
      <c r="GA28" s="1111"/>
      <c r="GB28" s="1111"/>
      <c r="GC28" s="1111"/>
      <c r="GD28" s="1111"/>
      <c r="GE28" s="1111"/>
      <c r="GF28" s="1111"/>
      <c r="GG28" s="1111"/>
      <c r="GH28" s="1111"/>
      <c r="GI28" s="1111"/>
      <c r="GJ28" s="1111"/>
      <c r="GK28" s="1111"/>
      <c r="GL28" s="1111"/>
      <c r="GM28" s="1111"/>
      <c r="GN28" s="1111"/>
      <c r="GO28" s="1111"/>
      <c r="GP28" s="1111"/>
      <c r="GQ28" s="1111"/>
      <c r="GR28" s="1111"/>
      <c r="GS28" s="1111"/>
      <c r="GT28" s="1111"/>
      <c r="GU28" s="1111"/>
      <c r="GV28" s="1111"/>
      <c r="GW28" s="1111"/>
      <c r="GX28" s="1111"/>
      <c r="GY28" s="1111"/>
      <c r="GZ28" s="1111"/>
      <c r="HA28" s="1111"/>
      <c r="HB28" s="1111"/>
      <c r="HC28" s="1111"/>
      <c r="HD28" s="1111"/>
      <c r="HE28" s="1111"/>
      <c r="HF28" s="1111"/>
      <c r="HG28" s="1111"/>
      <c r="HH28" s="1111"/>
      <c r="HI28" s="1111"/>
      <c r="HJ28" s="1111"/>
      <c r="HK28" s="1111"/>
      <c r="HL28" s="1111"/>
      <c r="HM28" s="1111"/>
      <c r="HN28" s="1111"/>
      <c r="HO28" s="1111"/>
      <c r="HP28" s="1111"/>
      <c r="HQ28" s="1111"/>
      <c r="HR28" s="1111"/>
      <c r="HS28" s="1111"/>
      <c r="HT28" s="1111"/>
      <c r="HU28" s="1111"/>
      <c r="HV28" s="1111"/>
      <c r="HW28" s="1111"/>
      <c r="HX28" s="1111"/>
      <c r="HY28" s="1111"/>
      <c r="HZ28" s="1111"/>
      <c r="IA28" s="1111"/>
      <c r="IB28" s="1111"/>
      <c r="IC28" s="1111"/>
      <c r="ID28" s="1111"/>
      <c r="IE28" s="1111"/>
      <c r="IF28" s="1111"/>
      <c r="IG28" s="1111"/>
      <c r="IH28" s="1111"/>
      <c r="II28" s="1111"/>
      <c r="IJ28" s="1111"/>
      <c r="IK28" s="1111"/>
      <c r="IL28" s="1111"/>
      <c r="IM28" s="1111"/>
      <c r="IN28" s="1111"/>
      <c r="IO28" s="1111"/>
      <c r="IP28" s="1111"/>
      <c r="IQ28" s="1111"/>
      <c r="IR28" s="1111"/>
      <c r="IS28" s="1111"/>
      <c r="IT28" s="1111"/>
      <c r="IU28" s="1111"/>
      <c r="IV28" s="1111"/>
    </row>
    <row r="29" s="1083" customFormat="1" ht="18.6" customHeight="1" spans="1:256">
      <c r="A29" s="1098" t="s">
        <v>145</v>
      </c>
      <c r="B29" s="1099">
        <f>资产负债表!B29/资产负债表!B37</f>
        <v>0</v>
      </c>
      <c r="C29" s="1099">
        <f>资产负债表!C29/资产负债表!C37</f>
        <v>0</v>
      </c>
      <c r="D29" s="1099">
        <f t="shared" si="2"/>
        <v>0</v>
      </c>
      <c r="E29" s="1096" t="s">
        <v>146</v>
      </c>
      <c r="F29" s="1104"/>
      <c r="G29" s="1103"/>
      <c r="H29" s="1096"/>
      <c r="I29" s="1111"/>
      <c r="J29" s="1111"/>
      <c r="K29" s="1111"/>
      <c r="L29" s="1111"/>
      <c r="M29" s="1111"/>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c r="AR29" s="1111"/>
      <c r="AS29" s="1111"/>
      <c r="AT29" s="1111"/>
      <c r="AU29" s="1111"/>
      <c r="AV29" s="1111"/>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1"/>
      <c r="CL29" s="1111"/>
      <c r="CM29" s="1111"/>
      <c r="CN29" s="1111"/>
      <c r="CO29" s="1111"/>
      <c r="CP29" s="1111"/>
      <c r="CQ29" s="1111"/>
      <c r="CR29" s="1111"/>
      <c r="CS29" s="1111"/>
      <c r="CT29" s="1111"/>
      <c r="CU29" s="1111"/>
      <c r="CV29" s="1111"/>
      <c r="CW29" s="1111"/>
      <c r="CX29" s="1111"/>
      <c r="CY29" s="1111"/>
      <c r="CZ29" s="1111"/>
      <c r="DA29" s="1111"/>
      <c r="DB29" s="1111"/>
      <c r="DC29" s="1111"/>
      <c r="DD29" s="1111"/>
      <c r="DE29" s="1111"/>
      <c r="DF29" s="1111"/>
      <c r="DG29" s="1111"/>
      <c r="DH29" s="1111"/>
      <c r="DI29" s="1111"/>
      <c r="DJ29" s="1111"/>
      <c r="DK29" s="1111"/>
      <c r="DL29" s="1111"/>
      <c r="DM29" s="1111"/>
      <c r="DN29" s="1111"/>
      <c r="DO29" s="1111"/>
      <c r="DP29" s="1111"/>
      <c r="DQ29" s="1111"/>
      <c r="DR29" s="1111"/>
      <c r="DS29" s="1111"/>
      <c r="DT29" s="1111"/>
      <c r="DU29" s="1111"/>
      <c r="DV29" s="1111"/>
      <c r="DW29" s="1111"/>
      <c r="DX29" s="1111"/>
      <c r="DY29" s="1111"/>
      <c r="DZ29" s="1111"/>
      <c r="EA29" s="1111"/>
      <c r="EB29" s="1111"/>
      <c r="EC29" s="1111"/>
      <c r="ED29" s="1111"/>
      <c r="EE29" s="1111"/>
      <c r="EF29" s="1111"/>
      <c r="EG29" s="1111"/>
      <c r="EH29" s="1111"/>
      <c r="EI29" s="1111"/>
      <c r="EJ29" s="1111"/>
      <c r="EK29" s="1111"/>
      <c r="EL29" s="1111"/>
      <c r="EM29" s="1111"/>
      <c r="EN29" s="1111"/>
      <c r="EO29" s="1111"/>
      <c r="EP29" s="1111"/>
      <c r="EQ29" s="1111"/>
      <c r="ER29" s="1111"/>
      <c r="ES29" s="1111"/>
      <c r="ET29" s="1111"/>
      <c r="EU29" s="1111"/>
      <c r="EV29" s="1111"/>
      <c r="EW29" s="1111"/>
      <c r="EX29" s="1111"/>
      <c r="EY29" s="1111"/>
      <c r="EZ29" s="1111"/>
      <c r="FA29" s="1111"/>
      <c r="FB29" s="1111"/>
      <c r="FC29" s="1111"/>
      <c r="FD29" s="1111"/>
      <c r="FE29" s="1111"/>
      <c r="FF29" s="1111"/>
      <c r="FG29" s="1111"/>
      <c r="FH29" s="1111"/>
      <c r="FI29" s="1111"/>
      <c r="FJ29" s="1111"/>
      <c r="FK29" s="1111"/>
      <c r="FL29" s="1111"/>
      <c r="FM29" s="1111"/>
      <c r="FN29" s="1111"/>
      <c r="FO29" s="1111"/>
      <c r="FP29" s="1111"/>
      <c r="FQ29" s="1111"/>
      <c r="FR29" s="1111"/>
      <c r="FS29" s="1111"/>
      <c r="FT29" s="1111"/>
      <c r="FU29" s="1111"/>
      <c r="FV29" s="1111"/>
      <c r="FW29" s="1111"/>
      <c r="FX29" s="1111"/>
      <c r="FY29" s="1111"/>
      <c r="FZ29" s="1111"/>
      <c r="GA29" s="1111"/>
      <c r="GB29" s="1111"/>
      <c r="GC29" s="1111"/>
      <c r="GD29" s="1111"/>
      <c r="GE29" s="1111"/>
      <c r="GF29" s="1111"/>
      <c r="GG29" s="1111"/>
      <c r="GH29" s="1111"/>
      <c r="GI29" s="1111"/>
      <c r="GJ29" s="1111"/>
      <c r="GK29" s="1111"/>
      <c r="GL29" s="1111"/>
      <c r="GM29" s="1111"/>
      <c r="GN29" s="1111"/>
      <c r="GO29" s="1111"/>
      <c r="GP29" s="1111"/>
      <c r="GQ29" s="1111"/>
      <c r="GR29" s="1111"/>
      <c r="GS29" s="1111"/>
      <c r="GT29" s="1111"/>
      <c r="GU29" s="1111"/>
      <c r="GV29" s="1111"/>
      <c r="GW29" s="1111"/>
      <c r="GX29" s="1111"/>
      <c r="GY29" s="1111"/>
      <c r="GZ29" s="1111"/>
      <c r="HA29" s="1111"/>
      <c r="HB29" s="1111"/>
      <c r="HC29" s="1111"/>
      <c r="HD29" s="1111"/>
      <c r="HE29" s="1111"/>
      <c r="HF29" s="1111"/>
      <c r="HG29" s="1111"/>
      <c r="HH29" s="1111"/>
      <c r="HI29" s="1111"/>
      <c r="HJ29" s="1111"/>
      <c r="HK29" s="1111"/>
      <c r="HL29" s="1111"/>
      <c r="HM29" s="1111"/>
      <c r="HN29" s="1111"/>
      <c r="HO29" s="1111"/>
      <c r="HP29" s="1111"/>
      <c r="HQ29" s="1111"/>
      <c r="HR29" s="1111"/>
      <c r="HS29" s="1111"/>
      <c r="HT29" s="1111"/>
      <c r="HU29" s="1111"/>
      <c r="HV29" s="1111"/>
      <c r="HW29" s="1111"/>
      <c r="HX29" s="1111"/>
      <c r="HY29" s="1111"/>
      <c r="HZ29" s="1111"/>
      <c r="IA29" s="1111"/>
      <c r="IB29" s="1111"/>
      <c r="IC29" s="1111"/>
      <c r="ID29" s="1111"/>
      <c r="IE29" s="1111"/>
      <c r="IF29" s="1111"/>
      <c r="IG29" s="1111"/>
      <c r="IH29" s="1111"/>
      <c r="II29" s="1111"/>
      <c r="IJ29" s="1111"/>
      <c r="IK29" s="1111"/>
      <c r="IL29" s="1111"/>
      <c r="IM29" s="1111"/>
      <c r="IN29" s="1111"/>
      <c r="IO29" s="1111"/>
      <c r="IP29" s="1111"/>
      <c r="IQ29" s="1111"/>
      <c r="IR29" s="1111"/>
      <c r="IS29" s="1111"/>
      <c r="IT29" s="1111"/>
      <c r="IU29" s="1111"/>
      <c r="IV29" s="1111"/>
    </row>
    <row r="30" s="1083" customFormat="1" ht="18.6" customHeight="1" spans="1:256">
      <c r="A30" s="1098" t="s">
        <v>147</v>
      </c>
      <c r="B30" s="1099">
        <f>资产负债表!B30/资产负债表!B37</f>
        <v>0</v>
      </c>
      <c r="C30" s="1099">
        <f>资产负债表!C30/资产负债表!C37</f>
        <v>0</v>
      </c>
      <c r="D30" s="1099">
        <f t="shared" si="2"/>
        <v>0</v>
      </c>
      <c r="E30" s="1098" t="s">
        <v>148</v>
      </c>
      <c r="F30" s="1100">
        <f>资产负债表!E30/资产负债表!E37</f>
        <v>0.750520110957004</v>
      </c>
      <c r="G30" s="1099">
        <f>资产负债表!F30/资产负债表!F37</f>
        <v>0.384467571473554</v>
      </c>
      <c r="H30" s="1101">
        <f t="shared" ref="H30:H35" si="4">F30-G30</f>
        <v>0.36605253948345</v>
      </c>
      <c r="I30" s="1111"/>
      <c r="J30" s="1111"/>
      <c r="K30" s="1111"/>
      <c r="L30" s="1111"/>
      <c r="M30" s="1111"/>
      <c r="N30" s="1111"/>
      <c r="O30" s="1111"/>
      <c r="P30" s="1111"/>
      <c r="Q30" s="1111"/>
      <c r="R30" s="1111"/>
      <c r="S30" s="1111"/>
      <c r="T30" s="1111"/>
      <c r="U30" s="1111"/>
      <c r="V30" s="1111"/>
      <c r="W30" s="1111"/>
      <c r="X30" s="1111"/>
      <c r="Y30" s="1111"/>
      <c r="Z30" s="1111"/>
      <c r="AA30" s="1111"/>
      <c r="AB30" s="1111"/>
      <c r="AC30" s="1111"/>
      <c r="AD30" s="1111"/>
      <c r="AE30" s="1111"/>
      <c r="AF30" s="1111"/>
      <c r="AG30" s="1111"/>
      <c r="AH30" s="1111"/>
      <c r="AI30" s="1111"/>
      <c r="AJ30" s="1111"/>
      <c r="AK30" s="1111"/>
      <c r="AL30" s="1111"/>
      <c r="AM30" s="1111"/>
      <c r="AN30" s="1111"/>
      <c r="AO30" s="1111"/>
      <c r="AP30" s="1111"/>
      <c r="AQ30" s="1111"/>
      <c r="AR30" s="1111"/>
      <c r="AS30" s="1111"/>
      <c r="AT30" s="1111"/>
      <c r="AU30" s="1111"/>
      <c r="AV30" s="1111"/>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c r="CQ30" s="1111"/>
      <c r="CR30" s="1111"/>
      <c r="CS30" s="1111"/>
      <c r="CT30" s="1111"/>
      <c r="CU30" s="1111"/>
      <c r="CV30" s="1111"/>
      <c r="CW30" s="1111"/>
      <c r="CX30" s="1111"/>
      <c r="CY30" s="1111"/>
      <c r="CZ30" s="1111"/>
      <c r="DA30" s="1111"/>
      <c r="DB30" s="1111"/>
      <c r="DC30" s="1111"/>
      <c r="DD30" s="1111"/>
      <c r="DE30" s="1111"/>
      <c r="DF30" s="1111"/>
      <c r="DG30" s="1111"/>
      <c r="DH30" s="1111"/>
      <c r="DI30" s="1111"/>
      <c r="DJ30" s="1111"/>
      <c r="DK30" s="1111"/>
      <c r="DL30" s="1111"/>
      <c r="DM30" s="1111"/>
      <c r="DN30" s="1111"/>
      <c r="DO30" s="1111"/>
      <c r="DP30" s="1111"/>
      <c r="DQ30" s="1111"/>
      <c r="DR30" s="1111"/>
      <c r="DS30" s="1111"/>
      <c r="DT30" s="1111"/>
      <c r="DU30" s="1111"/>
      <c r="DV30" s="1111"/>
      <c r="DW30" s="1111"/>
      <c r="DX30" s="1111"/>
      <c r="DY30" s="1111"/>
      <c r="DZ30" s="1111"/>
      <c r="EA30" s="1111"/>
      <c r="EB30" s="1111"/>
      <c r="EC30" s="1111"/>
      <c r="ED30" s="1111"/>
      <c r="EE30" s="1111"/>
      <c r="EF30" s="1111"/>
      <c r="EG30" s="1111"/>
      <c r="EH30" s="1111"/>
      <c r="EI30" s="1111"/>
      <c r="EJ30" s="1111"/>
      <c r="EK30" s="1111"/>
      <c r="EL30" s="1111"/>
      <c r="EM30" s="1111"/>
      <c r="EN30" s="1111"/>
      <c r="EO30" s="1111"/>
      <c r="EP30" s="1111"/>
      <c r="EQ30" s="1111"/>
      <c r="ER30" s="1111"/>
      <c r="ES30" s="1111"/>
      <c r="ET30" s="1111"/>
      <c r="EU30" s="1111"/>
      <c r="EV30" s="1111"/>
      <c r="EW30" s="1111"/>
      <c r="EX30" s="1111"/>
      <c r="EY30" s="1111"/>
      <c r="EZ30" s="1111"/>
      <c r="FA30" s="1111"/>
      <c r="FB30" s="1111"/>
      <c r="FC30" s="1111"/>
      <c r="FD30" s="1111"/>
      <c r="FE30" s="1111"/>
      <c r="FF30" s="1111"/>
      <c r="FG30" s="1111"/>
      <c r="FH30" s="1111"/>
      <c r="FI30" s="1111"/>
      <c r="FJ30" s="1111"/>
      <c r="FK30" s="1111"/>
      <c r="FL30" s="1111"/>
      <c r="FM30" s="1111"/>
      <c r="FN30" s="1111"/>
      <c r="FO30" s="1111"/>
      <c r="FP30" s="1111"/>
      <c r="FQ30" s="1111"/>
      <c r="FR30" s="1111"/>
      <c r="FS30" s="1111"/>
      <c r="FT30" s="1111"/>
      <c r="FU30" s="1111"/>
      <c r="FV30" s="1111"/>
      <c r="FW30" s="1111"/>
      <c r="FX30" s="1111"/>
      <c r="FY30" s="1111"/>
      <c r="FZ30" s="1111"/>
      <c r="GA30" s="1111"/>
      <c r="GB30" s="1111"/>
      <c r="GC30" s="1111"/>
      <c r="GD30" s="1111"/>
      <c r="GE30" s="1111"/>
      <c r="GF30" s="1111"/>
      <c r="GG30" s="1111"/>
      <c r="GH30" s="1111"/>
      <c r="GI30" s="1111"/>
      <c r="GJ30" s="1111"/>
      <c r="GK30" s="1111"/>
      <c r="GL30" s="1111"/>
      <c r="GM30" s="1111"/>
      <c r="GN30" s="1111"/>
      <c r="GO30" s="1111"/>
      <c r="GP30" s="1111"/>
      <c r="GQ30" s="1111"/>
      <c r="GR30" s="1111"/>
      <c r="GS30" s="1111"/>
      <c r="GT30" s="1111"/>
      <c r="GU30" s="1111"/>
      <c r="GV30" s="1111"/>
      <c r="GW30" s="1111"/>
      <c r="GX30" s="1111"/>
      <c r="GY30" s="1111"/>
      <c r="GZ30" s="1111"/>
      <c r="HA30" s="1111"/>
      <c r="HB30" s="1111"/>
      <c r="HC30" s="1111"/>
      <c r="HD30" s="1111"/>
      <c r="HE30" s="1111"/>
      <c r="HF30" s="1111"/>
      <c r="HG30" s="1111"/>
      <c r="HH30" s="1111"/>
      <c r="HI30" s="1111"/>
      <c r="HJ30" s="1111"/>
      <c r="HK30" s="1111"/>
      <c r="HL30" s="1111"/>
      <c r="HM30" s="1111"/>
      <c r="HN30" s="1111"/>
      <c r="HO30" s="1111"/>
      <c r="HP30" s="1111"/>
      <c r="HQ30" s="1111"/>
      <c r="HR30" s="1111"/>
      <c r="HS30" s="1111"/>
      <c r="HT30" s="1111"/>
      <c r="HU30" s="1111"/>
      <c r="HV30" s="1111"/>
      <c r="HW30" s="1111"/>
      <c r="HX30" s="1111"/>
      <c r="HY30" s="1111"/>
      <c r="HZ30" s="1111"/>
      <c r="IA30" s="1111"/>
      <c r="IB30" s="1111"/>
      <c r="IC30" s="1111"/>
      <c r="ID30" s="1111"/>
      <c r="IE30" s="1111"/>
      <c r="IF30" s="1111"/>
      <c r="IG30" s="1111"/>
      <c r="IH30" s="1111"/>
      <c r="II30" s="1111"/>
      <c r="IJ30" s="1111"/>
      <c r="IK30" s="1111"/>
      <c r="IL30" s="1111"/>
      <c r="IM30" s="1111"/>
      <c r="IN30" s="1111"/>
      <c r="IO30" s="1111"/>
      <c r="IP30" s="1111"/>
      <c r="IQ30" s="1111"/>
      <c r="IR30" s="1111"/>
      <c r="IS30" s="1111"/>
      <c r="IT30" s="1111"/>
      <c r="IU30" s="1111"/>
      <c r="IV30" s="1111"/>
    </row>
    <row r="31" s="1083" customFormat="1" ht="18.6" customHeight="1" spans="1:256">
      <c r="A31" s="1098" t="s">
        <v>149</v>
      </c>
      <c r="B31" s="1099">
        <f>资产负债表!B31/资产负债表!B37</f>
        <v>0</v>
      </c>
      <c r="C31" s="1099">
        <f>资产负债表!C31/资产负债表!C37</f>
        <v>0</v>
      </c>
      <c r="D31" s="1099">
        <f t="shared" si="2"/>
        <v>0</v>
      </c>
      <c r="E31" s="1098" t="s">
        <v>150</v>
      </c>
      <c r="F31" s="1100">
        <f>资产负债表!E31/资产负债表!E37</f>
        <v>0</v>
      </c>
      <c r="G31" s="1099">
        <f>资产负债表!F31/资产负债表!F37</f>
        <v>0</v>
      </c>
      <c r="H31" s="1101">
        <f t="shared" si="4"/>
        <v>0</v>
      </c>
      <c r="I31" s="1111"/>
      <c r="J31" s="1111"/>
      <c r="K31" s="1111"/>
      <c r="L31" s="1111"/>
      <c r="M31" s="1111"/>
      <c r="N31" s="1111"/>
      <c r="O31" s="1111"/>
      <c r="P31" s="1111"/>
      <c r="Q31" s="1111"/>
      <c r="R31" s="1111"/>
      <c r="S31" s="1111"/>
      <c r="T31" s="1111"/>
      <c r="U31" s="1111"/>
      <c r="V31" s="1111"/>
      <c r="W31" s="1111"/>
      <c r="X31" s="1111"/>
      <c r="Y31" s="1111"/>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1"/>
      <c r="CL31" s="1111"/>
      <c r="CM31" s="1111"/>
      <c r="CN31" s="1111"/>
      <c r="CO31" s="1111"/>
      <c r="CP31" s="1111"/>
      <c r="CQ31" s="1111"/>
      <c r="CR31" s="1111"/>
      <c r="CS31" s="1111"/>
      <c r="CT31" s="1111"/>
      <c r="CU31" s="1111"/>
      <c r="CV31" s="1111"/>
      <c r="CW31" s="1111"/>
      <c r="CX31" s="1111"/>
      <c r="CY31" s="1111"/>
      <c r="CZ31" s="1111"/>
      <c r="DA31" s="1111"/>
      <c r="DB31" s="1111"/>
      <c r="DC31" s="1111"/>
      <c r="DD31" s="1111"/>
      <c r="DE31" s="1111"/>
      <c r="DF31" s="1111"/>
      <c r="DG31" s="1111"/>
      <c r="DH31" s="1111"/>
      <c r="DI31" s="1111"/>
      <c r="DJ31" s="1111"/>
      <c r="DK31" s="1111"/>
      <c r="DL31" s="1111"/>
      <c r="DM31" s="1111"/>
      <c r="DN31" s="1111"/>
      <c r="DO31" s="1111"/>
      <c r="DP31" s="1111"/>
      <c r="DQ31" s="1111"/>
      <c r="DR31" s="1111"/>
      <c r="DS31" s="1111"/>
      <c r="DT31" s="1111"/>
      <c r="DU31" s="1111"/>
      <c r="DV31" s="1111"/>
      <c r="DW31" s="1111"/>
      <c r="DX31" s="1111"/>
      <c r="DY31" s="1111"/>
      <c r="DZ31" s="1111"/>
      <c r="EA31" s="1111"/>
      <c r="EB31" s="1111"/>
      <c r="EC31" s="1111"/>
      <c r="ED31" s="1111"/>
      <c r="EE31" s="1111"/>
      <c r="EF31" s="1111"/>
      <c r="EG31" s="1111"/>
      <c r="EH31" s="1111"/>
      <c r="EI31" s="1111"/>
      <c r="EJ31" s="1111"/>
      <c r="EK31" s="1111"/>
      <c r="EL31" s="1111"/>
      <c r="EM31" s="1111"/>
      <c r="EN31" s="1111"/>
      <c r="EO31" s="1111"/>
      <c r="EP31" s="1111"/>
      <c r="EQ31" s="1111"/>
      <c r="ER31" s="1111"/>
      <c r="ES31" s="1111"/>
      <c r="ET31" s="1111"/>
      <c r="EU31" s="1111"/>
      <c r="EV31" s="1111"/>
      <c r="EW31" s="1111"/>
      <c r="EX31" s="1111"/>
      <c r="EY31" s="1111"/>
      <c r="EZ31" s="1111"/>
      <c r="FA31" s="1111"/>
      <c r="FB31" s="1111"/>
      <c r="FC31" s="1111"/>
      <c r="FD31" s="1111"/>
      <c r="FE31" s="1111"/>
      <c r="FF31" s="1111"/>
      <c r="FG31" s="1111"/>
      <c r="FH31" s="1111"/>
      <c r="FI31" s="1111"/>
      <c r="FJ31" s="1111"/>
      <c r="FK31" s="1111"/>
      <c r="FL31" s="1111"/>
      <c r="FM31" s="1111"/>
      <c r="FN31" s="1111"/>
      <c r="FO31" s="1111"/>
      <c r="FP31" s="1111"/>
      <c r="FQ31" s="1111"/>
      <c r="FR31" s="1111"/>
      <c r="FS31" s="1111"/>
      <c r="FT31" s="1111"/>
      <c r="FU31" s="1111"/>
      <c r="FV31" s="1111"/>
      <c r="FW31" s="1111"/>
      <c r="FX31" s="1111"/>
      <c r="FY31" s="1111"/>
      <c r="FZ31" s="1111"/>
      <c r="GA31" s="1111"/>
      <c r="GB31" s="1111"/>
      <c r="GC31" s="1111"/>
      <c r="GD31" s="1111"/>
      <c r="GE31" s="1111"/>
      <c r="GF31" s="1111"/>
      <c r="GG31" s="1111"/>
      <c r="GH31" s="1111"/>
      <c r="GI31" s="1111"/>
      <c r="GJ31" s="1111"/>
      <c r="GK31" s="1111"/>
      <c r="GL31" s="1111"/>
      <c r="GM31" s="1111"/>
      <c r="GN31" s="1111"/>
      <c r="GO31" s="1111"/>
      <c r="GP31" s="1111"/>
      <c r="GQ31" s="1111"/>
      <c r="GR31" s="1111"/>
      <c r="GS31" s="1111"/>
      <c r="GT31" s="1111"/>
      <c r="GU31" s="1111"/>
      <c r="GV31" s="1111"/>
      <c r="GW31" s="1111"/>
      <c r="GX31" s="1111"/>
      <c r="GY31" s="1111"/>
      <c r="GZ31" s="1111"/>
      <c r="HA31" s="1111"/>
      <c r="HB31" s="1111"/>
      <c r="HC31" s="1111"/>
      <c r="HD31" s="1111"/>
      <c r="HE31" s="1111"/>
      <c r="HF31" s="1111"/>
      <c r="HG31" s="1111"/>
      <c r="HH31" s="1111"/>
      <c r="HI31" s="1111"/>
      <c r="HJ31" s="1111"/>
      <c r="HK31" s="1111"/>
      <c r="HL31" s="1111"/>
      <c r="HM31" s="1111"/>
      <c r="HN31" s="1111"/>
      <c r="HO31" s="1111"/>
      <c r="HP31" s="1111"/>
      <c r="HQ31" s="1111"/>
      <c r="HR31" s="1111"/>
      <c r="HS31" s="1111"/>
      <c r="HT31" s="1111"/>
      <c r="HU31" s="1111"/>
      <c r="HV31" s="1111"/>
      <c r="HW31" s="1111"/>
      <c r="HX31" s="1111"/>
      <c r="HY31" s="1111"/>
      <c r="HZ31" s="1111"/>
      <c r="IA31" s="1111"/>
      <c r="IB31" s="1111"/>
      <c r="IC31" s="1111"/>
      <c r="ID31" s="1111"/>
      <c r="IE31" s="1111"/>
      <c r="IF31" s="1111"/>
      <c r="IG31" s="1111"/>
      <c r="IH31" s="1111"/>
      <c r="II31" s="1111"/>
      <c r="IJ31" s="1111"/>
      <c r="IK31" s="1111"/>
      <c r="IL31" s="1111"/>
      <c r="IM31" s="1111"/>
      <c r="IN31" s="1111"/>
      <c r="IO31" s="1111"/>
      <c r="IP31" s="1111"/>
      <c r="IQ31" s="1111"/>
      <c r="IR31" s="1111"/>
      <c r="IS31" s="1111"/>
      <c r="IT31" s="1111"/>
      <c r="IU31" s="1111"/>
      <c r="IV31" s="1111"/>
    </row>
    <row r="32" s="1083" customFormat="1" ht="18.6" customHeight="1" spans="1:256">
      <c r="A32" s="1098" t="s">
        <v>151</v>
      </c>
      <c r="B32" s="1099">
        <f>资产负债表!B32/资产负债表!B37</f>
        <v>0</v>
      </c>
      <c r="C32" s="1099">
        <f>资产负债表!C32/资产负债表!C37</f>
        <v>0</v>
      </c>
      <c r="D32" s="1099">
        <f t="shared" si="2"/>
        <v>0</v>
      </c>
      <c r="E32" s="1098" t="s">
        <v>152</v>
      </c>
      <c r="F32" s="1100">
        <f>资产负债表!E32/资产负债表!E37</f>
        <v>0</v>
      </c>
      <c r="G32" s="1099">
        <f>资产负债表!F32/资产负债表!F37</f>
        <v>0</v>
      </c>
      <c r="H32" s="1101">
        <f t="shared" si="4"/>
        <v>0</v>
      </c>
      <c r="I32" s="1111"/>
      <c r="J32" s="1111"/>
      <c r="K32" s="1111"/>
      <c r="L32" s="1111"/>
      <c r="M32" s="1111"/>
      <c r="N32" s="1111"/>
      <c r="O32" s="1111"/>
      <c r="P32" s="1111"/>
      <c r="Q32" s="1111"/>
      <c r="R32" s="1111"/>
      <c r="S32" s="1111"/>
      <c r="T32" s="1111"/>
      <c r="U32" s="1111"/>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11"/>
      <c r="CY32" s="1111"/>
      <c r="CZ32" s="1111"/>
      <c r="DA32" s="1111"/>
      <c r="DB32" s="1111"/>
      <c r="DC32" s="1111"/>
      <c r="DD32" s="1111"/>
      <c r="DE32" s="1111"/>
      <c r="DF32" s="1111"/>
      <c r="DG32" s="1111"/>
      <c r="DH32" s="1111"/>
      <c r="DI32" s="1111"/>
      <c r="DJ32" s="1111"/>
      <c r="DK32" s="1111"/>
      <c r="DL32" s="1111"/>
      <c r="DM32" s="1111"/>
      <c r="DN32" s="1111"/>
      <c r="DO32" s="1111"/>
      <c r="DP32" s="1111"/>
      <c r="DQ32" s="1111"/>
      <c r="DR32" s="1111"/>
      <c r="DS32" s="1111"/>
      <c r="DT32" s="1111"/>
      <c r="DU32" s="1111"/>
      <c r="DV32" s="1111"/>
      <c r="DW32" s="1111"/>
      <c r="DX32" s="1111"/>
      <c r="DY32" s="1111"/>
      <c r="DZ32" s="1111"/>
      <c r="EA32" s="1111"/>
      <c r="EB32" s="1111"/>
      <c r="EC32" s="1111"/>
      <c r="ED32" s="1111"/>
      <c r="EE32" s="1111"/>
      <c r="EF32" s="1111"/>
      <c r="EG32" s="1111"/>
      <c r="EH32" s="1111"/>
      <c r="EI32" s="1111"/>
      <c r="EJ32" s="1111"/>
      <c r="EK32" s="1111"/>
      <c r="EL32" s="1111"/>
      <c r="EM32" s="1111"/>
      <c r="EN32" s="1111"/>
      <c r="EO32" s="1111"/>
      <c r="EP32" s="1111"/>
      <c r="EQ32" s="1111"/>
      <c r="ER32" s="1111"/>
      <c r="ES32" s="1111"/>
      <c r="ET32" s="1111"/>
      <c r="EU32" s="1111"/>
      <c r="EV32" s="1111"/>
      <c r="EW32" s="1111"/>
      <c r="EX32" s="1111"/>
      <c r="EY32" s="1111"/>
      <c r="EZ32" s="1111"/>
      <c r="FA32" s="1111"/>
      <c r="FB32" s="1111"/>
      <c r="FC32" s="1111"/>
      <c r="FD32" s="1111"/>
      <c r="FE32" s="1111"/>
      <c r="FF32" s="1111"/>
      <c r="FG32" s="1111"/>
      <c r="FH32" s="1111"/>
      <c r="FI32" s="1111"/>
      <c r="FJ32" s="1111"/>
      <c r="FK32" s="1111"/>
      <c r="FL32" s="1111"/>
      <c r="FM32" s="1111"/>
      <c r="FN32" s="1111"/>
      <c r="FO32" s="1111"/>
      <c r="FP32" s="1111"/>
      <c r="FQ32" s="1111"/>
      <c r="FR32" s="1111"/>
      <c r="FS32" s="1111"/>
      <c r="FT32" s="1111"/>
      <c r="FU32" s="1111"/>
      <c r="FV32" s="1111"/>
      <c r="FW32" s="1111"/>
      <c r="FX32" s="1111"/>
      <c r="FY32" s="1111"/>
      <c r="FZ32" s="1111"/>
      <c r="GA32" s="1111"/>
      <c r="GB32" s="1111"/>
      <c r="GC32" s="1111"/>
      <c r="GD32" s="1111"/>
      <c r="GE32" s="1111"/>
      <c r="GF32" s="1111"/>
      <c r="GG32" s="1111"/>
      <c r="GH32" s="1111"/>
      <c r="GI32" s="1111"/>
      <c r="GJ32" s="1111"/>
      <c r="GK32" s="1111"/>
      <c r="GL32" s="1111"/>
      <c r="GM32" s="1111"/>
      <c r="GN32" s="1111"/>
      <c r="GO32" s="1111"/>
      <c r="GP32" s="1111"/>
      <c r="GQ32" s="1111"/>
      <c r="GR32" s="1111"/>
      <c r="GS32" s="1111"/>
      <c r="GT32" s="1111"/>
      <c r="GU32" s="1111"/>
      <c r="GV32" s="1111"/>
      <c r="GW32" s="1111"/>
      <c r="GX32" s="1111"/>
      <c r="GY32" s="1111"/>
      <c r="GZ32" s="1111"/>
      <c r="HA32" s="1111"/>
      <c r="HB32" s="1111"/>
      <c r="HC32" s="1111"/>
      <c r="HD32" s="1111"/>
      <c r="HE32" s="1111"/>
      <c r="HF32" s="1111"/>
      <c r="HG32" s="1111"/>
      <c r="HH32" s="1111"/>
      <c r="HI32" s="1111"/>
      <c r="HJ32" s="1111"/>
      <c r="HK32" s="1111"/>
      <c r="HL32" s="1111"/>
      <c r="HM32" s="1111"/>
      <c r="HN32" s="1111"/>
      <c r="HO32" s="1111"/>
      <c r="HP32" s="1111"/>
      <c r="HQ32" s="1111"/>
      <c r="HR32" s="1111"/>
      <c r="HS32" s="1111"/>
      <c r="HT32" s="1111"/>
      <c r="HU32" s="1111"/>
      <c r="HV32" s="1111"/>
      <c r="HW32" s="1111"/>
      <c r="HX32" s="1111"/>
      <c r="HY32" s="1111"/>
      <c r="HZ32" s="1111"/>
      <c r="IA32" s="1111"/>
      <c r="IB32" s="1111"/>
      <c r="IC32" s="1111"/>
      <c r="ID32" s="1111"/>
      <c r="IE32" s="1111"/>
      <c r="IF32" s="1111"/>
      <c r="IG32" s="1111"/>
      <c r="IH32" s="1111"/>
      <c r="II32" s="1111"/>
      <c r="IJ32" s="1111"/>
      <c r="IK32" s="1111"/>
      <c r="IL32" s="1111"/>
      <c r="IM32" s="1111"/>
      <c r="IN32" s="1111"/>
      <c r="IO32" s="1111"/>
      <c r="IP32" s="1111"/>
      <c r="IQ32" s="1111"/>
      <c r="IR32" s="1111"/>
      <c r="IS32" s="1111"/>
      <c r="IT32" s="1111"/>
      <c r="IU32" s="1111"/>
      <c r="IV32" s="1111"/>
    </row>
    <row r="33" s="1083" customFormat="1" ht="18.6" customHeight="1" spans="1:256">
      <c r="A33" s="1098" t="s">
        <v>153</v>
      </c>
      <c r="B33" s="1099">
        <f>资产负债表!B33/资产负债表!B37</f>
        <v>0</v>
      </c>
      <c r="C33" s="1099">
        <f>资产负债表!C33/资产负债表!C37</f>
        <v>0</v>
      </c>
      <c r="D33" s="1099">
        <f t="shared" si="2"/>
        <v>0</v>
      </c>
      <c r="E33" s="1098" t="s">
        <v>154</v>
      </c>
      <c r="F33" s="1100">
        <f>资产负债表!E33/资产负债表!E37</f>
        <v>0</v>
      </c>
      <c r="G33" s="1099">
        <f>资产负债表!F33/资产负债表!F37</f>
        <v>0</v>
      </c>
      <c r="H33" s="1101">
        <f t="shared" si="4"/>
        <v>0</v>
      </c>
      <c r="I33" s="1111"/>
      <c r="J33" s="1111"/>
      <c r="K33" s="1111"/>
      <c r="L33" s="1111"/>
      <c r="M33" s="1111"/>
      <c r="N33" s="1111"/>
      <c r="O33" s="1111"/>
      <c r="P33" s="1111"/>
      <c r="Q33" s="1111"/>
      <c r="R33" s="1111"/>
      <c r="S33" s="1111"/>
      <c r="T33" s="1111"/>
      <c r="U33" s="1111"/>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11"/>
      <c r="CY33" s="1111"/>
      <c r="CZ33" s="1111"/>
      <c r="DA33" s="1111"/>
      <c r="DB33" s="1111"/>
      <c r="DC33" s="1111"/>
      <c r="DD33" s="1111"/>
      <c r="DE33" s="1111"/>
      <c r="DF33" s="1111"/>
      <c r="DG33" s="1111"/>
      <c r="DH33" s="1111"/>
      <c r="DI33" s="1111"/>
      <c r="DJ33" s="1111"/>
      <c r="DK33" s="1111"/>
      <c r="DL33" s="1111"/>
      <c r="DM33" s="1111"/>
      <c r="DN33" s="1111"/>
      <c r="DO33" s="1111"/>
      <c r="DP33" s="1111"/>
      <c r="DQ33" s="1111"/>
      <c r="DR33" s="1111"/>
      <c r="DS33" s="1111"/>
      <c r="DT33" s="1111"/>
      <c r="DU33" s="1111"/>
      <c r="DV33" s="1111"/>
      <c r="DW33" s="1111"/>
      <c r="DX33" s="1111"/>
      <c r="DY33" s="1111"/>
      <c r="DZ33" s="1111"/>
      <c r="EA33" s="1111"/>
      <c r="EB33" s="1111"/>
      <c r="EC33" s="1111"/>
      <c r="ED33" s="1111"/>
      <c r="EE33" s="1111"/>
      <c r="EF33" s="1111"/>
      <c r="EG33" s="1111"/>
      <c r="EH33" s="1111"/>
      <c r="EI33" s="1111"/>
      <c r="EJ33" s="1111"/>
      <c r="EK33" s="1111"/>
      <c r="EL33" s="1111"/>
      <c r="EM33" s="1111"/>
      <c r="EN33" s="1111"/>
      <c r="EO33" s="1111"/>
      <c r="EP33" s="1111"/>
      <c r="EQ33" s="1111"/>
      <c r="ER33" s="1111"/>
      <c r="ES33" s="1111"/>
      <c r="ET33" s="1111"/>
      <c r="EU33" s="1111"/>
      <c r="EV33" s="1111"/>
      <c r="EW33" s="1111"/>
      <c r="EX33" s="1111"/>
      <c r="EY33" s="1111"/>
      <c r="EZ33" s="1111"/>
      <c r="FA33" s="1111"/>
      <c r="FB33" s="1111"/>
      <c r="FC33" s="1111"/>
      <c r="FD33" s="1111"/>
      <c r="FE33" s="1111"/>
      <c r="FF33" s="1111"/>
      <c r="FG33" s="1111"/>
      <c r="FH33" s="1111"/>
      <c r="FI33" s="1111"/>
      <c r="FJ33" s="1111"/>
      <c r="FK33" s="1111"/>
      <c r="FL33" s="1111"/>
      <c r="FM33" s="1111"/>
      <c r="FN33" s="1111"/>
      <c r="FO33" s="1111"/>
      <c r="FP33" s="1111"/>
      <c r="FQ33" s="1111"/>
      <c r="FR33" s="1111"/>
      <c r="FS33" s="1111"/>
      <c r="FT33" s="1111"/>
      <c r="FU33" s="1111"/>
      <c r="FV33" s="1111"/>
      <c r="FW33" s="1111"/>
      <c r="FX33" s="1111"/>
      <c r="FY33" s="1111"/>
      <c r="FZ33" s="1111"/>
      <c r="GA33" s="1111"/>
      <c r="GB33" s="1111"/>
      <c r="GC33" s="1111"/>
      <c r="GD33" s="1111"/>
      <c r="GE33" s="1111"/>
      <c r="GF33" s="1111"/>
      <c r="GG33" s="1111"/>
      <c r="GH33" s="1111"/>
      <c r="GI33" s="1111"/>
      <c r="GJ33" s="1111"/>
      <c r="GK33" s="1111"/>
      <c r="GL33" s="1111"/>
      <c r="GM33" s="1111"/>
      <c r="GN33" s="1111"/>
      <c r="GO33" s="1111"/>
      <c r="GP33" s="1111"/>
      <c r="GQ33" s="1111"/>
      <c r="GR33" s="1111"/>
      <c r="GS33" s="1111"/>
      <c r="GT33" s="1111"/>
      <c r="GU33" s="1111"/>
      <c r="GV33" s="1111"/>
      <c r="GW33" s="1111"/>
      <c r="GX33" s="1111"/>
      <c r="GY33" s="1111"/>
      <c r="GZ33" s="1111"/>
      <c r="HA33" s="1111"/>
      <c r="HB33" s="1111"/>
      <c r="HC33" s="1111"/>
      <c r="HD33" s="1111"/>
      <c r="HE33" s="1111"/>
      <c r="HF33" s="1111"/>
      <c r="HG33" s="1111"/>
      <c r="HH33" s="1111"/>
      <c r="HI33" s="1111"/>
      <c r="HJ33" s="1111"/>
      <c r="HK33" s="1111"/>
      <c r="HL33" s="1111"/>
      <c r="HM33" s="1111"/>
      <c r="HN33" s="1111"/>
      <c r="HO33" s="1111"/>
      <c r="HP33" s="1111"/>
      <c r="HQ33" s="1111"/>
      <c r="HR33" s="1111"/>
      <c r="HS33" s="1111"/>
      <c r="HT33" s="1111"/>
      <c r="HU33" s="1111"/>
      <c r="HV33" s="1111"/>
      <c r="HW33" s="1111"/>
      <c r="HX33" s="1111"/>
      <c r="HY33" s="1111"/>
      <c r="HZ33" s="1111"/>
      <c r="IA33" s="1111"/>
      <c r="IB33" s="1111"/>
      <c r="IC33" s="1111"/>
      <c r="ID33" s="1111"/>
      <c r="IE33" s="1111"/>
      <c r="IF33" s="1111"/>
      <c r="IG33" s="1111"/>
      <c r="IH33" s="1111"/>
      <c r="II33" s="1111"/>
      <c r="IJ33" s="1111"/>
      <c r="IK33" s="1111"/>
      <c r="IL33" s="1111"/>
      <c r="IM33" s="1111"/>
      <c r="IN33" s="1111"/>
      <c r="IO33" s="1111"/>
      <c r="IP33" s="1111"/>
      <c r="IQ33" s="1111"/>
      <c r="IR33" s="1111"/>
      <c r="IS33" s="1111"/>
      <c r="IT33" s="1111"/>
      <c r="IU33" s="1111"/>
      <c r="IV33" s="1111"/>
    </row>
    <row r="34" s="1083" customFormat="1" ht="18.6" customHeight="1" spans="1:256">
      <c r="A34" s="1098" t="s">
        <v>155</v>
      </c>
      <c r="B34" s="1099">
        <f>资产负债表!B34/资产负债表!B37</f>
        <v>0</v>
      </c>
      <c r="C34" s="1099">
        <f>资产负债表!C34/资产负债表!C37</f>
        <v>0</v>
      </c>
      <c r="D34" s="1099">
        <f t="shared" si="2"/>
        <v>0</v>
      </c>
      <c r="E34" s="1098" t="s">
        <v>156</v>
      </c>
      <c r="F34" s="1100">
        <f>资产负债表!E34/资产负债表!E37</f>
        <v>0</v>
      </c>
      <c r="G34" s="1099">
        <f>资产负债表!F34/资产负债表!F37</f>
        <v>0</v>
      </c>
      <c r="H34" s="1101">
        <f t="shared" si="4"/>
        <v>0</v>
      </c>
      <c r="I34" s="1111"/>
      <c r="J34" s="1111"/>
      <c r="K34" s="1111"/>
      <c r="L34" s="1111"/>
      <c r="M34" s="1111"/>
      <c r="N34" s="1111"/>
      <c r="O34" s="1111"/>
      <c r="P34" s="1111"/>
      <c r="Q34" s="1111"/>
      <c r="R34" s="1111"/>
      <c r="S34" s="1111"/>
      <c r="T34" s="1111"/>
      <c r="U34" s="1111"/>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c r="CC34" s="1111"/>
      <c r="CD34" s="1111"/>
      <c r="CE34" s="1111"/>
      <c r="CF34" s="1111"/>
      <c r="CG34" s="1111"/>
      <c r="CH34" s="1111"/>
      <c r="CI34" s="1111"/>
      <c r="CJ34" s="1111"/>
      <c r="CK34" s="1111"/>
      <c r="CL34" s="1111"/>
      <c r="CM34" s="1111"/>
      <c r="CN34" s="1111"/>
      <c r="CO34" s="1111"/>
      <c r="CP34" s="1111"/>
      <c r="CQ34" s="1111"/>
      <c r="CR34" s="1111"/>
      <c r="CS34" s="1111"/>
      <c r="CT34" s="1111"/>
      <c r="CU34" s="1111"/>
      <c r="CV34" s="1111"/>
      <c r="CW34" s="1111"/>
      <c r="CX34" s="1111"/>
      <c r="CY34" s="1111"/>
      <c r="CZ34" s="1111"/>
      <c r="DA34" s="1111"/>
      <c r="DB34" s="1111"/>
      <c r="DC34" s="1111"/>
      <c r="DD34" s="1111"/>
      <c r="DE34" s="1111"/>
      <c r="DF34" s="1111"/>
      <c r="DG34" s="1111"/>
      <c r="DH34" s="1111"/>
      <c r="DI34" s="1111"/>
      <c r="DJ34" s="1111"/>
      <c r="DK34" s="1111"/>
      <c r="DL34" s="1111"/>
      <c r="DM34" s="1111"/>
      <c r="DN34" s="1111"/>
      <c r="DO34" s="1111"/>
      <c r="DP34" s="1111"/>
      <c r="DQ34" s="1111"/>
      <c r="DR34" s="1111"/>
      <c r="DS34" s="1111"/>
      <c r="DT34" s="1111"/>
      <c r="DU34" s="1111"/>
      <c r="DV34" s="1111"/>
      <c r="DW34" s="1111"/>
      <c r="DX34" s="1111"/>
      <c r="DY34" s="1111"/>
      <c r="DZ34" s="1111"/>
      <c r="EA34" s="1111"/>
      <c r="EB34" s="1111"/>
      <c r="EC34" s="1111"/>
      <c r="ED34" s="1111"/>
      <c r="EE34" s="1111"/>
      <c r="EF34" s="1111"/>
      <c r="EG34" s="1111"/>
      <c r="EH34" s="1111"/>
      <c r="EI34" s="1111"/>
      <c r="EJ34" s="1111"/>
      <c r="EK34" s="1111"/>
      <c r="EL34" s="1111"/>
      <c r="EM34" s="1111"/>
      <c r="EN34" s="1111"/>
      <c r="EO34" s="1111"/>
      <c r="EP34" s="1111"/>
      <c r="EQ34" s="1111"/>
      <c r="ER34" s="1111"/>
      <c r="ES34" s="1111"/>
      <c r="ET34" s="1111"/>
      <c r="EU34" s="1111"/>
      <c r="EV34" s="1111"/>
      <c r="EW34" s="1111"/>
      <c r="EX34" s="1111"/>
      <c r="EY34" s="1111"/>
      <c r="EZ34" s="1111"/>
      <c r="FA34" s="1111"/>
      <c r="FB34" s="1111"/>
      <c r="FC34" s="1111"/>
      <c r="FD34" s="1111"/>
      <c r="FE34" s="1111"/>
      <c r="FF34" s="1111"/>
      <c r="FG34" s="1111"/>
      <c r="FH34" s="1111"/>
      <c r="FI34" s="1111"/>
      <c r="FJ34" s="1111"/>
      <c r="FK34" s="1111"/>
      <c r="FL34" s="1111"/>
      <c r="FM34" s="1111"/>
      <c r="FN34" s="1111"/>
      <c r="FO34" s="1111"/>
      <c r="FP34" s="1111"/>
      <c r="FQ34" s="1111"/>
      <c r="FR34" s="1111"/>
      <c r="FS34" s="1111"/>
      <c r="FT34" s="1111"/>
      <c r="FU34" s="1111"/>
      <c r="FV34" s="1111"/>
      <c r="FW34" s="1111"/>
      <c r="FX34" s="1111"/>
      <c r="FY34" s="1111"/>
      <c r="FZ34" s="1111"/>
      <c r="GA34" s="1111"/>
      <c r="GB34" s="1111"/>
      <c r="GC34" s="1111"/>
      <c r="GD34" s="1111"/>
      <c r="GE34" s="1111"/>
      <c r="GF34" s="1111"/>
      <c r="GG34" s="1111"/>
      <c r="GH34" s="1111"/>
      <c r="GI34" s="1111"/>
      <c r="GJ34" s="1111"/>
      <c r="GK34" s="1111"/>
      <c r="GL34" s="1111"/>
      <c r="GM34" s="1111"/>
      <c r="GN34" s="1111"/>
      <c r="GO34" s="1111"/>
      <c r="GP34" s="1111"/>
      <c r="GQ34" s="1111"/>
      <c r="GR34" s="1111"/>
      <c r="GS34" s="1111"/>
      <c r="GT34" s="1111"/>
      <c r="GU34" s="1111"/>
      <c r="GV34" s="1111"/>
      <c r="GW34" s="1111"/>
      <c r="GX34" s="1111"/>
      <c r="GY34" s="1111"/>
      <c r="GZ34" s="1111"/>
      <c r="HA34" s="1111"/>
      <c r="HB34" s="1111"/>
      <c r="HC34" s="1111"/>
      <c r="HD34" s="1111"/>
      <c r="HE34" s="1111"/>
      <c r="HF34" s="1111"/>
      <c r="HG34" s="1111"/>
      <c r="HH34" s="1111"/>
      <c r="HI34" s="1111"/>
      <c r="HJ34" s="1111"/>
      <c r="HK34" s="1111"/>
      <c r="HL34" s="1111"/>
      <c r="HM34" s="1111"/>
      <c r="HN34" s="1111"/>
      <c r="HO34" s="1111"/>
      <c r="HP34" s="1111"/>
      <c r="HQ34" s="1111"/>
      <c r="HR34" s="1111"/>
      <c r="HS34" s="1111"/>
      <c r="HT34" s="1111"/>
      <c r="HU34" s="1111"/>
      <c r="HV34" s="1111"/>
      <c r="HW34" s="1111"/>
      <c r="HX34" s="1111"/>
      <c r="HY34" s="1111"/>
      <c r="HZ34" s="1111"/>
      <c r="IA34" s="1111"/>
      <c r="IB34" s="1111"/>
      <c r="IC34" s="1111"/>
      <c r="ID34" s="1111"/>
      <c r="IE34" s="1111"/>
      <c r="IF34" s="1111"/>
      <c r="IG34" s="1111"/>
      <c r="IH34" s="1111"/>
      <c r="II34" s="1111"/>
      <c r="IJ34" s="1111"/>
      <c r="IK34" s="1111"/>
      <c r="IL34" s="1111"/>
      <c r="IM34" s="1111"/>
      <c r="IN34" s="1111"/>
      <c r="IO34" s="1111"/>
      <c r="IP34" s="1111"/>
      <c r="IQ34" s="1111"/>
      <c r="IR34" s="1111"/>
      <c r="IS34" s="1111"/>
      <c r="IT34" s="1111"/>
      <c r="IU34" s="1111"/>
      <c r="IV34" s="1111"/>
    </row>
    <row r="35" s="1083" customFormat="1" ht="18.6" customHeight="1" spans="1:256">
      <c r="A35" s="1098" t="s">
        <v>157</v>
      </c>
      <c r="B35" s="1099">
        <f>资产负债表!B35/资产负债表!B37</f>
        <v>0</v>
      </c>
      <c r="C35" s="1099">
        <f>资产负债表!C35/资产负债表!C37</f>
        <v>0</v>
      </c>
      <c r="D35" s="1099">
        <f t="shared" si="2"/>
        <v>0</v>
      </c>
      <c r="E35" s="1102" t="s">
        <v>158</v>
      </c>
      <c r="F35" s="1100">
        <f>资产负债表!E35/资产负债表!E37</f>
        <v>0.750520110957004</v>
      </c>
      <c r="G35" s="1099">
        <f>资产负债表!F35/资产负债表!F37</f>
        <v>0.384467571473554</v>
      </c>
      <c r="H35" s="1101">
        <f t="shared" si="4"/>
        <v>0.36605253948345</v>
      </c>
      <c r="I35" s="1111"/>
      <c r="J35" s="1111"/>
      <c r="K35" s="1111"/>
      <c r="L35" s="1111"/>
      <c r="M35" s="1111"/>
      <c r="N35" s="1111"/>
      <c r="O35" s="1111"/>
      <c r="P35" s="1111"/>
      <c r="Q35" s="1111"/>
      <c r="R35" s="1111"/>
      <c r="S35" s="1111"/>
      <c r="T35" s="1111"/>
      <c r="U35" s="1111"/>
      <c r="V35" s="1111"/>
      <c r="W35" s="1111"/>
      <c r="X35" s="1111"/>
      <c r="Y35" s="1111"/>
      <c r="Z35" s="1111"/>
      <c r="AA35" s="1111"/>
      <c r="AB35" s="1111"/>
      <c r="AC35" s="1111"/>
      <c r="AD35" s="1111"/>
      <c r="AE35" s="1111"/>
      <c r="AF35" s="1111"/>
      <c r="AG35" s="1111"/>
      <c r="AH35" s="1111"/>
      <c r="AI35" s="1111"/>
      <c r="AJ35" s="1111"/>
      <c r="AK35" s="1111"/>
      <c r="AL35" s="1111"/>
      <c r="AM35" s="1111"/>
      <c r="AN35" s="1111"/>
      <c r="AO35" s="1111"/>
      <c r="AP35" s="1111"/>
      <c r="AQ35" s="1111"/>
      <c r="AR35" s="1111"/>
      <c r="AS35" s="1111"/>
      <c r="AT35" s="1111"/>
      <c r="AU35" s="1111"/>
      <c r="AV35" s="1111"/>
      <c r="AW35" s="1111"/>
      <c r="AX35" s="1111"/>
      <c r="AY35" s="1111"/>
      <c r="AZ35" s="1111"/>
      <c r="BA35" s="1111"/>
      <c r="BB35" s="1111"/>
      <c r="BC35" s="1111"/>
      <c r="BD35" s="1111"/>
      <c r="BE35" s="1111"/>
      <c r="BF35" s="1111"/>
      <c r="BG35" s="1111"/>
      <c r="BH35" s="1111"/>
      <c r="BI35" s="1111"/>
      <c r="BJ35" s="1111"/>
      <c r="BK35" s="1111"/>
      <c r="BL35" s="1111"/>
      <c r="BM35" s="1111"/>
      <c r="BN35" s="1111"/>
      <c r="BO35" s="1111"/>
      <c r="BP35" s="1111"/>
      <c r="BQ35" s="1111"/>
      <c r="BR35" s="1111"/>
      <c r="BS35" s="1111"/>
      <c r="BT35" s="1111"/>
      <c r="BU35" s="1111"/>
      <c r="BV35" s="1111"/>
      <c r="BW35" s="1111"/>
      <c r="BX35" s="1111"/>
      <c r="BY35" s="1111"/>
      <c r="BZ35" s="1111"/>
      <c r="CA35" s="1111"/>
      <c r="CB35" s="1111"/>
      <c r="CC35" s="1111"/>
      <c r="CD35" s="1111"/>
      <c r="CE35" s="1111"/>
      <c r="CF35" s="1111"/>
      <c r="CG35" s="1111"/>
      <c r="CH35" s="1111"/>
      <c r="CI35" s="1111"/>
      <c r="CJ35" s="1111"/>
      <c r="CK35" s="1111"/>
      <c r="CL35" s="1111"/>
      <c r="CM35" s="1111"/>
      <c r="CN35" s="1111"/>
      <c r="CO35" s="1111"/>
      <c r="CP35" s="1111"/>
      <c r="CQ35" s="1111"/>
      <c r="CR35" s="1111"/>
      <c r="CS35" s="1111"/>
      <c r="CT35" s="1111"/>
      <c r="CU35" s="1111"/>
      <c r="CV35" s="1111"/>
      <c r="CW35" s="1111"/>
      <c r="CX35" s="1111"/>
      <c r="CY35" s="1111"/>
      <c r="CZ35" s="1111"/>
      <c r="DA35" s="1111"/>
      <c r="DB35" s="1111"/>
      <c r="DC35" s="1111"/>
      <c r="DD35" s="1111"/>
      <c r="DE35" s="1111"/>
      <c r="DF35" s="1111"/>
      <c r="DG35" s="1111"/>
      <c r="DH35" s="1111"/>
      <c r="DI35" s="1111"/>
      <c r="DJ35" s="1111"/>
      <c r="DK35" s="1111"/>
      <c r="DL35" s="1111"/>
      <c r="DM35" s="1111"/>
      <c r="DN35" s="1111"/>
      <c r="DO35" s="1111"/>
      <c r="DP35" s="1111"/>
      <c r="DQ35" s="1111"/>
      <c r="DR35" s="1111"/>
      <c r="DS35" s="1111"/>
      <c r="DT35" s="1111"/>
      <c r="DU35" s="1111"/>
      <c r="DV35" s="1111"/>
      <c r="DW35" s="1111"/>
      <c r="DX35" s="1111"/>
      <c r="DY35" s="1111"/>
      <c r="DZ35" s="1111"/>
      <c r="EA35" s="1111"/>
      <c r="EB35" s="1111"/>
      <c r="EC35" s="1111"/>
      <c r="ED35" s="1111"/>
      <c r="EE35" s="1111"/>
      <c r="EF35" s="1111"/>
      <c r="EG35" s="1111"/>
      <c r="EH35" s="1111"/>
      <c r="EI35" s="1111"/>
      <c r="EJ35" s="1111"/>
      <c r="EK35" s="1111"/>
      <c r="EL35" s="1111"/>
      <c r="EM35" s="1111"/>
      <c r="EN35" s="1111"/>
      <c r="EO35" s="1111"/>
      <c r="EP35" s="1111"/>
      <c r="EQ35" s="1111"/>
      <c r="ER35" s="1111"/>
      <c r="ES35" s="1111"/>
      <c r="ET35" s="1111"/>
      <c r="EU35" s="1111"/>
      <c r="EV35" s="1111"/>
      <c r="EW35" s="1111"/>
      <c r="EX35" s="1111"/>
      <c r="EY35" s="1111"/>
      <c r="EZ35" s="1111"/>
      <c r="FA35" s="1111"/>
      <c r="FB35" s="1111"/>
      <c r="FC35" s="1111"/>
      <c r="FD35" s="1111"/>
      <c r="FE35" s="1111"/>
      <c r="FF35" s="1111"/>
      <c r="FG35" s="1111"/>
      <c r="FH35" s="1111"/>
      <c r="FI35" s="1111"/>
      <c r="FJ35" s="1111"/>
      <c r="FK35" s="1111"/>
      <c r="FL35" s="1111"/>
      <c r="FM35" s="1111"/>
      <c r="FN35" s="1111"/>
      <c r="FO35" s="1111"/>
      <c r="FP35" s="1111"/>
      <c r="FQ35" s="1111"/>
      <c r="FR35" s="1111"/>
      <c r="FS35" s="1111"/>
      <c r="FT35" s="1111"/>
      <c r="FU35" s="1111"/>
      <c r="FV35" s="1111"/>
      <c r="FW35" s="1111"/>
      <c r="FX35" s="1111"/>
      <c r="FY35" s="1111"/>
      <c r="FZ35" s="1111"/>
      <c r="GA35" s="1111"/>
      <c r="GB35" s="1111"/>
      <c r="GC35" s="1111"/>
      <c r="GD35" s="1111"/>
      <c r="GE35" s="1111"/>
      <c r="GF35" s="1111"/>
      <c r="GG35" s="1111"/>
      <c r="GH35" s="1111"/>
      <c r="GI35" s="1111"/>
      <c r="GJ35" s="1111"/>
      <c r="GK35" s="1111"/>
      <c r="GL35" s="1111"/>
      <c r="GM35" s="1111"/>
      <c r="GN35" s="1111"/>
      <c r="GO35" s="1111"/>
      <c r="GP35" s="1111"/>
      <c r="GQ35" s="1111"/>
      <c r="GR35" s="1111"/>
      <c r="GS35" s="1111"/>
      <c r="GT35" s="1111"/>
      <c r="GU35" s="1111"/>
      <c r="GV35" s="1111"/>
      <c r="GW35" s="1111"/>
      <c r="GX35" s="1111"/>
      <c r="GY35" s="1111"/>
      <c r="GZ35" s="1111"/>
      <c r="HA35" s="1111"/>
      <c r="HB35" s="1111"/>
      <c r="HC35" s="1111"/>
      <c r="HD35" s="1111"/>
      <c r="HE35" s="1111"/>
      <c r="HF35" s="1111"/>
      <c r="HG35" s="1111"/>
      <c r="HH35" s="1111"/>
      <c r="HI35" s="1111"/>
      <c r="HJ35" s="1111"/>
      <c r="HK35" s="1111"/>
      <c r="HL35" s="1111"/>
      <c r="HM35" s="1111"/>
      <c r="HN35" s="1111"/>
      <c r="HO35" s="1111"/>
      <c r="HP35" s="1111"/>
      <c r="HQ35" s="1111"/>
      <c r="HR35" s="1111"/>
      <c r="HS35" s="1111"/>
      <c r="HT35" s="1111"/>
      <c r="HU35" s="1111"/>
      <c r="HV35" s="1111"/>
      <c r="HW35" s="1111"/>
      <c r="HX35" s="1111"/>
      <c r="HY35" s="1111"/>
      <c r="HZ35" s="1111"/>
      <c r="IA35" s="1111"/>
      <c r="IB35" s="1111"/>
      <c r="IC35" s="1111"/>
      <c r="ID35" s="1111"/>
      <c r="IE35" s="1111"/>
      <c r="IF35" s="1111"/>
      <c r="IG35" s="1111"/>
      <c r="IH35" s="1111"/>
      <c r="II35" s="1111"/>
      <c r="IJ35" s="1111"/>
      <c r="IK35" s="1111"/>
      <c r="IL35" s="1111"/>
      <c r="IM35" s="1111"/>
      <c r="IN35" s="1111"/>
      <c r="IO35" s="1111"/>
      <c r="IP35" s="1111"/>
      <c r="IQ35" s="1111"/>
      <c r="IR35" s="1111"/>
      <c r="IS35" s="1111"/>
      <c r="IT35" s="1111"/>
      <c r="IU35" s="1111"/>
      <c r="IV35" s="1111"/>
    </row>
    <row r="36" s="1083" customFormat="1" ht="18.6" customHeight="1" spans="1:256">
      <c r="A36" s="1102" t="s">
        <v>159</v>
      </c>
      <c r="B36" s="1099">
        <f>资产负债表!B36/资产负债表!B37</f>
        <v>0.161282246312229</v>
      </c>
      <c r="C36" s="1099">
        <f>资产负债表!C36/资产负债表!C37</f>
        <v>0.500864317677852</v>
      </c>
      <c r="D36" s="1099">
        <f t="shared" si="2"/>
        <v>-0.339582071365623</v>
      </c>
      <c r="E36" s="1098"/>
      <c r="F36" s="1105"/>
      <c r="G36" s="1106"/>
      <c r="H36" s="1107"/>
      <c r="I36" s="1111"/>
      <c r="J36" s="1111"/>
      <c r="K36" s="1111"/>
      <c r="L36" s="1111"/>
      <c r="M36" s="1111"/>
      <c r="N36" s="1111"/>
      <c r="O36" s="1111"/>
      <c r="P36" s="1111"/>
      <c r="Q36" s="1111"/>
      <c r="R36" s="1111"/>
      <c r="S36" s="1111"/>
      <c r="T36" s="1111"/>
      <c r="U36" s="1111"/>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1"/>
      <c r="CL36" s="1111"/>
      <c r="CM36" s="1111"/>
      <c r="CN36" s="1111"/>
      <c r="CO36" s="1111"/>
      <c r="CP36" s="1111"/>
      <c r="CQ36" s="1111"/>
      <c r="CR36" s="1111"/>
      <c r="CS36" s="1111"/>
      <c r="CT36" s="1111"/>
      <c r="CU36" s="1111"/>
      <c r="CV36" s="1111"/>
      <c r="CW36" s="1111"/>
      <c r="CX36" s="1111"/>
      <c r="CY36" s="1111"/>
      <c r="CZ36" s="1111"/>
      <c r="DA36" s="1111"/>
      <c r="DB36" s="1111"/>
      <c r="DC36" s="1111"/>
      <c r="DD36" s="1111"/>
      <c r="DE36" s="1111"/>
      <c r="DF36" s="1111"/>
      <c r="DG36" s="1111"/>
      <c r="DH36" s="1111"/>
      <c r="DI36" s="1111"/>
      <c r="DJ36" s="1111"/>
      <c r="DK36" s="1111"/>
      <c r="DL36" s="1111"/>
      <c r="DM36" s="1111"/>
      <c r="DN36" s="1111"/>
      <c r="DO36" s="1111"/>
      <c r="DP36" s="1111"/>
      <c r="DQ36" s="1111"/>
      <c r="DR36" s="1111"/>
      <c r="DS36" s="1111"/>
      <c r="DT36" s="1111"/>
      <c r="DU36" s="1111"/>
      <c r="DV36" s="1111"/>
      <c r="DW36" s="1111"/>
      <c r="DX36" s="1111"/>
      <c r="DY36" s="1111"/>
      <c r="DZ36" s="1111"/>
      <c r="EA36" s="1111"/>
      <c r="EB36" s="1111"/>
      <c r="EC36" s="1111"/>
      <c r="ED36" s="1111"/>
      <c r="EE36" s="1111"/>
      <c r="EF36" s="1111"/>
      <c r="EG36" s="1111"/>
      <c r="EH36" s="1111"/>
      <c r="EI36" s="1111"/>
      <c r="EJ36" s="1111"/>
      <c r="EK36" s="1111"/>
      <c r="EL36" s="1111"/>
      <c r="EM36" s="1111"/>
      <c r="EN36" s="1111"/>
      <c r="EO36" s="1111"/>
      <c r="EP36" s="1111"/>
      <c r="EQ36" s="1111"/>
      <c r="ER36" s="1111"/>
      <c r="ES36" s="1111"/>
      <c r="ET36" s="1111"/>
      <c r="EU36" s="1111"/>
      <c r="EV36" s="1111"/>
      <c r="EW36" s="1111"/>
      <c r="EX36" s="1111"/>
      <c r="EY36" s="1111"/>
      <c r="EZ36" s="1111"/>
      <c r="FA36" s="1111"/>
      <c r="FB36" s="1111"/>
      <c r="FC36" s="1111"/>
      <c r="FD36" s="1111"/>
      <c r="FE36" s="1111"/>
      <c r="FF36" s="1111"/>
      <c r="FG36" s="1111"/>
      <c r="FH36" s="1111"/>
      <c r="FI36" s="1111"/>
      <c r="FJ36" s="1111"/>
      <c r="FK36" s="1111"/>
      <c r="FL36" s="1111"/>
      <c r="FM36" s="1111"/>
      <c r="FN36" s="1111"/>
      <c r="FO36" s="1111"/>
      <c r="FP36" s="1111"/>
      <c r="FQ36" s="1111"/>
      <c r="FR36" s="1111"/>
      <c r="FS36" s="1111"/>
      <c r="FT36" s="1111"/>
      <c r="FU36" s="1111"/>
      <c r="FV36" s="1111"/>
      <c r="FW36" s="1111"/>
      <c r="FX36" s="1111"/>
      <c r="FY36" s="1111"/>
      <c r="FZ36" s="1111"/>
      <c r="GA36" s="1111"/>
      <c r="GB36" s="1111"/>
      <c r="GC36" s="1111"/>
      <c r="GD36" s="1111"/>
      <c r="GE36" s="1111"/>
      <c r="GF36" s="1111"/>
      <c r="GG36" s="1111"/>
      <c r="GH36" s="1111"/>
      <c r="GI36" s="1111"/>
      <c r="GJ36" s="1111"/>
      <c r="GK36" s="1111"/>
      <c r="GL36" s="1111"/>
      <c r="GM36" s="1111"/>
      <c r="GN36" s="1111"/>
      <c r="GO36" s="1111"/>
      <c r="GP36" s="1111"/>
      <c r="GQ36" s="1111"/>
      <c r="GR36" s="1111"/>
      <c r="GS36" s="1111"/>
      <c r="GT36" s="1111"/>
      <c r="GU36" s="1111"/>
      <c r="GV36" s="1111"/>
      <c r="GW36" s="1111"/>
      <c r="GX36" s="1111"/>
      <c r="GY36" s="1111"/>
      <c r="GZ36" s="1111"/>
      <c r="HA36" s="1111"/>
      <c r="HB36" s="1111"/>
      <c r="HC36" s="1111"/>
      <c r="HD36" s="1111"/>
      <c r="HE36" s="1111"/>
      <c r="HF36" s="1111"/>
      <c r="HG36" s="1111"/>
      <c r="HH36" s="1111"/>
      <c r="HI36" s="1111"/>
      <c r="HJ36" s="1111"/>
      <c r="HK36" s="1111"/>
      <c r="HL36" s="1111"/>
      <c r="HM36" s="1111"/>
      <c r="HN36" s="1111"/>
      <c r="HO36" s="1111"/>
      <c r="HP36" s="1111"/>
      <c r="HQ36" s="1111"/>
      <c r="HR36" s="1111"/>
      <c r="HS36" s="1111"/>
      <c r="HT36" s="1111"/>
      <c r="HU36" s="1111"/>
      <c r="HV36" s="1111"/>
      <c r="HW36" s="1111"/>
      <c r="HX36" s="1111"/>
      <c r="HY36" s="1111"/>
      <c r="HZ36" s="1111"/>
      <c r="IA36" s="1111"/>
      <c r="IB36" s="1111"/>
      <c r="IC36" s="1111"/>
      <c r="ID36" s="1111"/>
      <c r="IE36" s="1111"/>
      <c r="IF36" s="1111"/>
      <c r="IG36" s="1111"/>
      <c r="IH36" s="1111"/>
      <c r="II36" s="1111"/>
      <c r="IJ36" s="1111"/>
      <c r="IK36" s="1111"/>
      <c r="IL36" s="1111"/>
      <c r="IM36" s="1111"/>
      <c r="IN36" s="1111"/>
      <c r="IO36" s="1111"/>
      <c r="IP36" s="1111"/>
      <c r="IQ36" s="1111"/>
      <c r="IR36" s="1111"/>
      <c r="IS36" s="1111"/>
      <c r="IT36" s="1111"/>
      <c r="IU36" s="1111"/>
      <c r="IV36" s="1111"/>
    </row>
    <row r="37" s="1083" customFormat="1" ht="18.6" customHeight="1" spans="1:256">
      <c r="A37" s="1102" t="s">
        <v>160</v>
      </c>
      <c r="B37" s="1099">
        <f>资产负债表!B37/资产负债表!B37</f>
        <v>1</v>
      </c>
      <c r="C37" s="1099">
        <f>资产负债表!C37/资产负债表!C37</f>
        <v>1</v>
      </c>
      <c r="D37" s="1099">
        <f>(资产负债表!B37-资产负债表!C37)/资产负债表!C37</f>
        <v>-0.455687980577663</v>
      </c>
      <c r="E37" s="1102" t="s">
        <v>161</v>
      </c>
      <c r="F37" s="1100">
        <f>资产负债表!E37/资产负债表!E37</f>
        <v>1</v>
      </c>
      <c r="G37" s="1099">
        <f>资产负债表!F37/资产负债表!F37</f>
        <v>1</v>
      </c>
      <c r="H37" s="1101">
        <f>(资产负债表!E37-资产负债表!F37)/资产负债表!F37</f>
        <v>-0.487731819759884</v>
      </c>
      <c r="I37" s="1111"/>
      <c r="J37" s="1111"/>
      <c r="K37" s="1111"/>
      <c r="L37" s="1111"/>
      <c r="M37" s="1111"/>
      <c r="N37" s="1111"/>
      <c r="O37" s="1111"/>
      <c r="P37" s="1111"/>
      <c r="Q37" s="1111"/>
      <c r="R37" s="1111"/>
      <c r="S37" s="1111"/>
      <c r="T37" s="1111"/>
      <c r="U37" s="1111"/>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c r="CC37" s="1111"/>
      <c r="CD37" s="1111"/>
      <c r="CE37" s="1111"/>
      <c r="CF37" s="1111"/>
      <c r="CG37" s="1111"/>
      <c r="CH37" s="1111"/>
      <c r="CI37" s="1111"/>
      <c r="CJ37" s="1111"/>
      <c r="CK37" s="1111"/>
      <c r="CL37" s="1111"/>
      <c r="CM37" s="1111"/>
      <c r="CN37" s="1111"/>
      <c r="CO37" s="1111"/>
      <c r="CP37" s="1111"/>
      <c r="CQ37" s="1111"/>
      <c r="CR37" s="1111"/>
      <c r="CS37" s="1111"/>
      <c r="CT37" s="1111"/>
      <c r="CU37" s="1111"/>
      <c r="CV37" s="1111"/>
      <c r="CW37" s="1111"/>
      <c r="CX37" s="1111"/>
      <c r="CY37" s="1111"/>
      <c r="CZ37" s="1111"/>
      <c r="DA37" s="1111"/>
      <c r="DB37" s="1111"/>
      <c r="DC37" s="1111"/>
      <c r="DD37" s="1111"/>
      <c r="DE37" s="1111"/>
      <c r="DF37" s="1111"/>
      <c r="DG37" s="1111"/>
      <c r="DH37" s="1111"/>
      <c r="DI37" s="1111"/>
      <c r="DJ37" s="1111"/>
      <c r="DK37" s="1111"/>
      <c r="DL37" s="1111"/>
      <c r="DM37" s="1111"/>
      <c r="DN37" s="1111"/>
      <c r="DO37" s="1111"/>
      <c r="DP37" s="1111"/>
      <c r="DQ37" s="1111"/>
      <c r="DR37" s="1111"/>
      <c r="DS37" s="1111"/>
      <c r="DT37" s="1111"/>
      <c r="DU37" s="1111"/>
      <c r="DV37" s="1111"/>
      <c r="DW37" s="1111"/>
      <c r="DX37" s="1111"/>
      <c r="DY37" s="1111"/>
      <c r="DZ37" s="1111"/>
      <c r="EA37" s="1111"/>
      <c r="EB37" s="1111"/>
      <c r="EC37" s="1111"/>
      <c r="ED37" s="1111"/>
      <c r="EE37" s="1111"/>
      <c r="EF37" s="1111"/>
      <c r="EG37" s="1111"/>
      <c r="EH37" s="1111"/>
      <c r="EI37" s="1111"/>
      <c r="EJ37" s="1111"/>
      <c r="EK37" s="1111"/>
      <c r="EL37" s="1111"/>
      <c r="EM37" s="1111"/>
      <c r="EN37" s="1111"/>
      <c r="EO37" s="1111"/>
      <c r="EP37" s="1111"/>
      <c r="EQ37" s="1111"/>
      <c r="ER37" s="1111"/>
      <c r="ES37" s="1111"/>
      <c r="ET37" s="1111"/>
      <c r="EU37" s="1111"/>
      <c r="EV37" s="1111"/>
      <c r="EW37" s="1111"/>
      <c r="EX37" s="1111"/>
      <c r="EY37" s="1111"/>
      <c r="EZ37" s="1111"/>
      <c r="FA37" s="1111"/>
      <c r="FB37" s="1111"/>
      <c r="FC37" s="1111"/>
      <c r="FD37" s="1111"/>
      <c r="FE37" s="1111"/>
      <c r="FF37" s="1111"/>
      <c r="FG37" s="1111"/>
      <c r="FH37" s="1111"/>
      <c r="FI37" s="1111"/>
      <c r="FJ37" s="1111"/>
      <c r="FK37" s="1111"/>
      <c r="FL37" s="1111"/>
      <c r="FM37" s="1111"/>
      <c r="FN37" s="1111"/>
      <c r="FO37" s="1111"/>
      <c r="FP37" s="1111"/>
      <c r="FQ37" s="1111"/>
      <c r="FR37" s="1111"/>
      <c r="FS37" s="1111"/>
      <c r="FT37" s="1111"/>
      <c r="FU37" s="1111"/>
      <c r="FV37" s="1111"/>
      <c r="FW37" s="1111"/>
      <c r="FX37" s="1111"/>
      <c r="FY37" s="1111"/>
      <c r="FZ37" s="1111"/>
      <c r="GA37" s="1111"/>
      <c r="GB37" s="1111"/>
      <c r="GC37" s="1111"/>
      <c r="GD37" s="1111"/>
      <c r="GE37" s="1111"/>
      <c r="GF37" s="1111"/>
      <c r="GG37" s="1111"/>
      <c r="GH37" s="1111"/>
      <c r="GI37" s="1111"/>
      <c r="GJ37" s="1111"/>
      <c r="GK37" s="1111"/>
      <c r="GL37" s="1111"/>
      <c r="GM37" s="1111"/>
      <c r="GN37" s="1111"/>
      <c r="GO37" s="1111"/>
      <c r="GP37" s="1111"/>
      <c r="GQ37" s="1111"/>
      <c r="GR37" s="1111"/>
      <c r="GS37" s="1111"/>
      <c r="GT37" s="1111"/>
      <c r="GU37" s="1111"/>
      <c r="GV37" s="1111"/>
      <c r="GW37" s="1111"/>
      <c r="GX37" s="1111"/>
      <c r="GY37" s="1111"/>
      <c r="GZ37" s="1111"/>
      <c r="HA37" s="1111"/>
      <c r="HB37" s="1111"/>
      <c r="HC37" s="1111"/>
      <c r="HD37" s="1111"/>
      <c r="HE37" s="1111"/>
      <c r="HF37" s="1111"/>
      <c r="HG37" s="1111"/>
      <c r="HH37" s="1111"/>
      <c r="HI37" s="1111"/>
      <c r="HJ37" s="1111"/>
      <c r="HK37" s="1111"/>
      <c r="HL37" s="1111"/>
      <c r="HM37" s="1111"/>
      <c r="HN37" s="1111"/>
      <c r="HO37" s="1111"/>
      <c r="HP37" s="1111"/>
      <c r="HQ37" s="1111"/>
      <c r="HR37" s="1111"/>
      <c r="HS37" s="1111"/>
      <c r="HT37" s="1111"/>
      <c r="HU37" s="1111"/>
      <c r="HV37" s="1111"/>
      <c r="HW37" s="1111"/>
      <c r="HX37" s="1111"/>
      <c r="HY37" s="1111"/>
      <c r="HZ37" s="1111"/>
      <c r="IA37" s="1111"/>
      <c r="IB37" s="1111"/>
      <c r="IC37" s="1111"/>
      <c r="ID37" s="1111"/>
      <c r="IE37" s="1111"/>
      <c r="IF37" s="1111"/>
      <c r="IG37" s="1111"/>
      <c r="IH37" s="1111"/>
      <c r="II37" s="1111"/>
      <c r="IJ37" s="1111"/>
      <c r="IK37" s="1111"/>
      <c r="IL37" s="1111"/>
      <c r="IM37" s="1111"/>
      <c r="IN37" s="1111"/>
      <c r="IO37" s="1111"/>
      <c r="IP37" s="1111"/>
      <c r="IQ37" s="1111"/>
      <c r="IR37" s="1111"/>
      <c r="IS37" s="1111"/>
      <c r="IT37" s="1111"/>
      <c r="IU37" s="1111"/>
      <c r="IV37" s="1111"/>
    </row>
    <row r="38" s="1085" customFormat="1" ht="18.6" customHeight="1" spans="1:256">
      <c r="A38" s="1108"/>
      <c r="B38" s="1109"/>
      <c r="C38" s="1109"/>
      <c r="D38" s="1109"/>
      <c r="E38" s="1108"/>
      <c r="F38" s="1109"/>
      <c r="G38" s="1109"/>
      <c r="H38" s="1110"/>
      <c r="I38" s="1112"/>
      <c r="J38" s="1112"/>
      <c r="K38" s="1112"/>
      <c r="L38" s="1112"/>
      <c r="M38" s="1112"/>
      <c r="N38" s="1112"/>
      <c r="O38" s="1112"/>
      <c r="P38" s="1112"/>
      <c r="Q38" s="1112"/>
      <c r="R38" s="1112"/>
      <c r="S38" s="1112"/>
      <c r="T38" s="1112"/>
      <c r="U38" s="1112"/>
      <c r="V38" s="1112"/>
      <c r="W38" s="1112"/>
      <c r="X38" s="1112"/>
      <c r="Y38" s="1112"/>
      <c r="Z38" s="1112"/>
      <c r="AA38" s="1112"/>
      <c r="AB38" s="1112"/>
      <c r="AC38" s="1112"/>
      <c r="AD38" s="1112"/>
      <c r="AE38" s="1112"/>
      <c r="AF38" s="1112"/>
      <c r="AG38" s="1112"/>
      <c r="AH38" s="1112"/>
      <c r="AI38" s="1112"/>
      <c r="AJ38" s="1112"/>
      <c r="AK38" s="1112"/>
      <c r="AL38" s="1112"/>
      <c r="AM38" s="1112"/>
      <c r="AN38" s="1112"/>
      <c r="AO38" s="1112"/>
      <c r="AP38" s="1112"/>
      <c r="AQ38" s="1112"/>
      <c r="AR38" s="1112"/>
      <c r="AS38" s="1112"/>
      <c r="AT38" s="1112"/>
      <c r="AU38" s="1112"/>
      <c r="AV38" s="1112"/>
      <c r="AW38" s="1112"/>
      <c r="AX38" s="1112"/>
      <c r="AY38" s="1112"/>
      <c r="AZ38" s="1112"/>
      <c r="BA38" s="1112"/>
      <c r="BB38" s="1112"/>
      <c r="BC38" s="1112"/>
      <c r="BD38" s="1112"/>
      <c r="BE38" s="1112"/>
      <c r="BF38" s="1112"/>
      <c r="BG38" s="1112"/>
      <c r="BH38" s="1112"/>
      <c r="BI38" s="1112"/>
      <c r="BJ38" s="1112"/>
      <c r="BK38" s="1112"/>
      <c r="BL38" s="1112"/>
      <c r="BM38" s="1112"/>
      <c r="BN38" s="1112"/>
      <c r="BO38" s="1112"/>
      <c r="BP38" s="1112"/>
      <c r="BQ38" s="1112"/>
      <c r="BR38" s="1112"/>
      <c r="BS38" s="1112"/>
      <c r="BT38" s="1112"/>
      <c r="BU38" s="1112"/>
      <c r="BV38" s="1112"/>
      <c r="BW38" s="1112"/>
      <c r="BX38" s="1112"/>
      <c r="BY38" s="1112"/>
      <c r="BZ38" s="1112"/>
      <c r="CA38" s="1112"/>
      <c r="CB38" s="1112"/>
      <c r="CC38" s="1112"/>
      <c r="CD38" s="1112"/>
      <c r="CE38" s="1112"/>
      <c r="CF38" s="1112"/>
      <c r="CG38" s="1112"/>
      <c r="CH38" s="1112"/>
      <c r="CI38" s="1112"/>
      <c r="CJ38" s="1112"/>
      <c r="CK38" s="1112"/>
      <c r="CL38" s="1112"/>
      <c r="CM38" s="1112"/>
      <c r="CN38" s="1112"/>
      <c r="CO38" s="1112"/>
      <c r="CP38" s="1112"/>
      <c r="CQ38" s="1112"/>
      <c r="CR38" s="1112"/>
      <c r="CS38" s="1112"/>
      <c r="CT38" s="1112"/>
      <c r="CU38" s="1112"/>
      <c r="CV38" s="1112"/>
      <c r="CW38" s="1112"/>
      <c r="CX38" s="1112"/>
      <c r="CY38" s="1112"/>
      <c r="CZ38" s="1112"/>
      <c r="DA38" s="1112"/>
      <c r="DB38" s="1112"/>
      <c r="DC38" s="1112"/>
      <c r="DD38" s="1112"/>
      <c r="DE38" s="1112"/>
      <c r="DF38" s="1112"/>
      <c r="DG38" s="1112"/>
      <c r="DH38" s="1112"/>
      <c r="DI38" s="1112"/>
      <c r="DJ38" s="1112"/>
      <c r="DK38" s="1112"/>
      <c r="DL38" s="1112"/>
      <c r="DM38" s="1112"/>
      <c r="DN38" s="1112"/>
      <c r="DO38" s="1112"/>
      <c r="DP38" s="1112"/>
      <c r="DQ38" s="1112"/>
      <c r="DR38" s="1112"/>
      <c r="DS38" s="1112"/>
      <c r="DT38" s="1112"/>
      <c r="DU38" s="1112"/>
      <c r="DV38" s="1112"/>
      <c r="DW38" s="1112"/>
      <c r="DX38" s="1112"/>
      <c r="DY38" s="1112"/>
      <c r="DZ38" s="1112"/>
      <c r="EA38" s="1112"/>
      <c r="EB38" s="1112"/>
      <c r="EC38" s="1112"/>
      <c r="ED38" s="1112"/>
      <c r="EE38" s="1112"/>
      <c r="EF38" s="1112"/>
      <c r="EG38" s="1112"/>
      <c r="EH38" s="1112"/>
      <c r="EI38" s="1112"/>
      <c r="EJ38" s="1112"/>
      <c r="EK38" s="1112"/>
      <c r="EL38" s="1112"/>
      <c r="EM38" s="1112"/>
      <c r="EN38" s="1112"/>
      <c r="EO38" s="1112"/>
      <c r="EP38" s="1112"/>
      <c r="EQ38" s="1112"/>
      <c r="ER38" s="1112"/>
      <c r="ES38" s="1112"/>
      <c r="ET38" s="1112"/>
      <c r="EU38" s="1112"/>
      <c r="EV38" s="1112"/>
      <c r="EW38" s="1112"/>
      <c r="EX38" s="1112"/>
      <c r="EY38" s="1112"/>
      <c r="EZ38" s="1112"/>
      <c r="FA38" s="1112"/>
      <c r="FB38" s="1112"/>
      <c r="FC38" s="1112"/>
      <c r="FD38" s="1112"/>
      <c r="FE38" s="1112"/>
      <c r="FF38" s="1112"/>
      <c r="FG38" s="1112"/>
      <c r="FH38" s="1112"/>
      <c r="FI38" s="1112"/>
      <c r="FJ38" s="1112"/>
      <c r="FK38" s="1112"/>
      <c r="FL38" s="1112"/>
      <c r="FM38" s="1112"/>
      <c r="FN38" s="1112"/>
      <c r="FO38" s="1112"/>
      <c r="FP38" s="1112"/>
      <c r="FQ38" s="1112"/>
      <c r="FR38" s="1112"/>
      <c r="FS38" s="1112"/>
      <c r="FT38" s="1112"/>
      <c r="FU38" s="1112"/>
      <c r="FV38" s="1112"/>
      <c r="FW38" s="1112"/>
      <c r="FX38" s="1112"/>
      <c r="FY38" s="1112"/>
      <c r="FZ38" s="1112"/>
      <c r="GA38" s="1112"/>
      <c r="GB38" s="1112"/>
      <c r="GC38" s="1112"/>
      <c r="GD38" s="1112"/>
      <c r="GE38" s="1112"/>
      <c r="GF38" s="1112"/>
      <c r="GG38" s="1112"/>
      <c r="GH38" s="1112"/>
      <c r="GI38" s="1112"/>
      <c r="GJ38" s="1112"/>
      <c r="GK38" s="1112"/>
      <c r="GL38" s="1112"/>
      <c r="GM38" s="1112"/>
      <c r="GN38" s="1112"/>
      <c r="GO38" s="1112"/>
      <c r="GP38" s="1112"/>
      <c r="GQ38" s="1112"/>
      <c r="GR38" s="1112"/>
      <c r="GS38" s="1112"/>
      <c r="GT38" s="1112"/>
      <c r="GU38" s="1112"/>
      <c r="GV38" s="1112"/>
      <c r="GW38" s="1112"/>
      <c r="GX38" s="1112"/>
      <c r="GY38" s="1112"/>
      <c r="GZ38" s="1112"/>
      <c r="HA38" s="1112"/>
      <c r="HB38" s="1112"/>
      <c r="HC38" s="1112"/>
      <c r="HD38" s="1112"/>
      <c r="HE38" s="1112"/>
      <c r="HF38" s="1112"/>
      <c r="HG38" s="1112"/>
      <c r="HH38" s="1112"/>
      <c r="HI38" s="1112"/>
      <c r="HJ38" s="1112"/>
      <c r="HK38" s="1112"/>
      <c r="HL38" s="1112"/>
      <c r="HM38" s="1112"/>
      <c r="HN38" s="1112"/>
      <c r="HO38" s="1112"/>
      <c r="HP38" s="1112"/>
      <c r="HQ38" s="1112"/>
      <c r="HR38" s="1112"/>
      <c r="HS38" s="1112"/>
      <c r="HT38" s="1112"/>
      <c r="HU38" s="1112"/>
      <c r="HV38" s="1112"/>
      <c r="HW38" s="1112"/>
      <c r="HX38" s="1112"/>
      <c r="HY38" s="1112"/>
      <c r="HZ38" s="1112"/>
      <c r="IA38" s="1112"/>
      <c r="IB38" s="1112"/>
      <c r="IC38" s="1112"/>
      <c r="ID38" s="1112"/>
      <c r="IE38" s="1112"/>
      <c r="IF38" s="1112"/>
      <c r="IG38" s="1112"/>
      <c r="IH38" s="1112"/>
      <c r="II38" s="1112"/>
      <c r="IJ38" s="1112"/>
      <c r="IK38" s="1112"/>
      <c r="IL38" s="1112"/>
      <c r="IM38" s="1112"/>
      <c r="IN38" s="1112"/>
      <c r="IO38" s="1112"/>
      <c r="IP38" s="1112"/>
      <c r="IQ38" s="1112"/>
      <c r="IR38" s="1112"/>
      <c r="IS38" s="1112"/>
      <c r="IT38" s="1112"/>
      <c r="IU38" s="1112"/>
      <c r="IV38" s="1112"/>
    </row>
  </sheetData>
  <mergeCells count="2">
    <mergeCell ref="A1:H1"/>
    <mergeCell ref="D3:E3"/>
  </mergeCells>
  <printOptions horizontalCentered="1"/>
  <pageMargins left="0.349305555555556" right="0.349305555555556" top="0.788888888888889" bottom="0.788888888888889" header="0.509027777777778" footer="0.509027777777778"/>
  <pageSetup paperSize="9" scale="95" orientation="portrait" horizontalDpi="180"/>
  <headerFooter alignWithMargins="0" scaleWithDoc="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R43"/>
  <sheetViews>
    <sheetView zoomScale="90" zoomScaleNormal="90" workbookViewId="0">
      <selection activeCell="N5" sqref="N5"/>
    </sheetView>
  </sheetViews>
  <sheetFormatPr defaultColWidth="9" defaultRowHeight="17.25"/>
  <cols>
    <col min="1" max="1" width="9.25" style="254" customWidth="1"/>
    <col min="2" max="2" width="0.125" style="254" customWidth="1"/>
    <col min="3" max="3" width="16.625" style="254" customWidth="1"/>
    <col min="4" max="6" width="12.125" style="254" customWidth="1"/>
    <col min="7" max="7" width="6" style="254" customWidth="1"/>
    <col min="8" max="8" width="9.75" style="254" customWidth="1"/>
    <col min="9" max="9" width="5.25" style="254" customWidth="1"/>
    <col min="10" max="14" width="12.125" style="254" customWidth="1"/>
    <col min="15" max="17" width="9" style="254"/>
    <col min="18" max="18" width="15.125" style="254" customWidth="1"/>
    <col min="19" max="16384" width="9" style="254"/>
  </cols>
  <sheetData>
    <row r="1" ht="30" customHeight="1" spans="1:14">
      <c r="A1" s="255" t="s">
        <v>1294</v>
      </c>
      <c r="B1" s="255"/>
      <c r="C1" s="255"/>
      <c r="D1" s="255"/>
      <c r="E1" s="255"/>
      <c r="F1" s="255"/>
      <c r="G1" s="255"/>
      <c r="H1" s="255"/>
      <c r="I1" s="255"/>
      <c r="J1" s="255"/>
      <c r="K1" s="255"/>
      <c r="L1" s="255"/>
      <c r="M1" s="255"/>
      <c r="N1" s="255"/>
    </row>
    <row r="2" s="250" customFormat="1" ht="20.1" customHeight="1" spans="1:14">
      <c r="A2" s="256"/>
      <c r="B2" s="256"/>
      <c r="C2" s="256"/>
      <c r="D2" s="256"/>
      <c r="E2" s="256"/>
      <c r="F2" s="257" t="s">
        <v>1295</v>
      </c>
      <c r="G2" s="258">
        <f ca="1">NOW()</f>
        <v>44941.7050462963</v>
      </c>
      <c r="H2" s="258"/>
      <c r="I2" s="258"/>
      <c r="J2" s="276" t="s">
        <v>198</v>
      </c>
      <c r="K2" s="276"/>
      <c r="L2" s="276"/>
      <c r="M2" s="276"/>
      <c r="N2" s="276"/>
    </row>
    <row r="3" s="251" customFormat="1" ht="12.95" customHeight="1" spans="1:14">
      <c r="A3" s="259" t="s">
        <v>1296</v>
      </c>
      <c r="B3" s="260"/>
      <c r="C3" s="259" t="s">
        <v>1297</v>
      </c>
      <c r="D3" s="261" t="s">
        <v>1298</v>
      </c>
      <c r="E3" s="261" t="s">
        <v>1299</v>
      </c>
      <c r="F3" s="261" t="s">
        <v>1300</v>
      </c>
      <c r="G3" s="262" t="s">
        <v>1301</v>
      </c>
      <c r="H3" s="261" t="s">
        <v>1302</v>
      </c>
      <c r="I3" s="277" t="s">
        <v>1303</v>
      </c>
      <c r="J3" s="261" t="s">
        <v>1304</v>
      </c>
      <c r="K3" s="278" t="s">
        <v>1305</v>
      </c>
      <c r="L3" s="278"/>
      <c r="M3" s="278"/>
      <c r="N3" s="278"/>
    </row>
    <row r="4" s="252" customFormat="1" ht="15.75" spans="1:18">
      <c r="A4" s="259"/>
      <c r="B4" s="259" t="s">
        <v>1306</v>
      </c>
      <c r="C4" s="259"/>
      <c r="D4" s="261"/>
      <c r="E4" s="261"/>
      <c r="F4" s="261"/>
      <c r="G4" s="262"/>
      <c r="H4" s="261"/>
      <c r="I4" s="279"/>
      <c r="J4" s="261"/>
      <c r="K4" s="261" t="s">
        <v>1307</v>
      </c>
      <c r="L4" s="261" t="s">
        <v>1308</v>
      </c>
      <c r="M4" s="261" t="s">
        <v>1309</v>
      </c>
      <c r="N4" s="261" t="s">
        <v>1310</v>
      </c>
      <c r="R4" s="283"/>
    </row>
    <row r="5" s="253" customFormat="1" ht="18.95" customHeight="1" spans="1:14">
      <c r="A5" s="263"/>
      <c r="B5" s="264"/>
      <c r="C5" s="264"/>
      <c r="D5" s="265"/>
      <c r="E5" s="265"/>
      <c r="F5" s="266">
        <f t="shared" ref="F5:F34" si="0">D5-E5</f>
        <v>0</v>
      </c>
      <c r="G5" s="264"/>
      <c r="H5" s="267">
        <f>A5+G5</f>
        <v>0</v>
      </c>
      <c r="I5" s="280" t="str">
        <f ca="1" t="shared" ref="I5:I34" si="1">IF(H5&gt;$G$2,"否","是")</f>
        <v>是</v>
      </c>
      <c r="J5" s="281">
        <f ca="1" t="shared" ref="J5:J34" si="2">IF($G$2-$H5&lt;0,$D5-$E5,0)</f>
        <v>0</v>
      </c>
      <c r="K5" s="281">
        <f ca="1" t="shared" ref="K5:K34" si="3">IF(AND($G$2-$H5&gt;0,$G$2-$H5&lt;=30),$D5-$E5,0)</f>
        <v>0</v>
      </c>
      <c r="L5" s="281">
        <f ca="1" t="shared" ref="L5:L34" si="4">IF(AND($G$2-$H5&gt;30,$G$2-$H5&lt;=60),$D5-$E5,0)</f>
        <v>0</v>
      </c>
      <c r="M5" s="281">
        <f ca="1" t="shared" ref="M5:M34" si="5">IF(AND($G$2-$H5&gt;60,$G$2-$H5&lt;=90),$D5-$E5,0)</f>
        <v>0</v>
      </c>
      <c r="N5" s="281">
        <f ca="1" t="shared" ref="N5:N34" si="6">IF($G$2-$H5&gt;90,$D5-$E5,0)</f>
        <v>0</v>
      </c>
    </row>
    <row r="6" s="253" customFormat="1" ht="18.95" customHeight="1" spans="1:14">
      <c r="A6" s="263"/>
      <c r="B6" s="264">
        <v>2345</v>
      </c>
      <c r="C6" s="264"/>
      <c r="D6" s="265"/>
      <c r="E6" s="265"/>
      <c r="F6" s="266">
        <f t="shared" si="0"/>
        <v>0</v>
      </c>
      <c r="G6" s="264"/>
      <c r="H6" s="267">
        <f t="shared" ref="H6:H34" si="7">A6+G6</f>
        <v>0</v>
      </c>
      <c r="I6" s="280" t="str">
        <f ca="1" t="shared" si="1"/>
        <v>是</v>
      </c>
      <c r="J6" s="281">
        <f ca="1" t="shared" si="2"/>
        <v>0</v>
      </c>
      <c r="K6" s="281">
        <f ca="1" t="shared" si="3"/>
        <v>0</v>
      </c>
      <c r="L6" s="281">
        <f ca="1" t="shared" si="4"/>
        <v>0</v>
      </c>
      <c r="M6" s="281">
        <f ca="1" t="shared" si="5"/>
        <v>0</v>
      </c>
      <c r="N6" s="281">
        <f ca="1" t="shared" si="6"/>
        <v>0</v>
      </c>
    </row>
    <row r="7" s="253" customFormat="1" ht="18.95" customHeight="1" spans="1:14">
      <c r="A7" s="263"/>
      <c r="B7" s="264">
        <v>3456</v>
      </c>
      <c r="C7" s="264"/>
      <c r="D7" s="265"/>
      <c r="E7" s="265"/>
      <c r="F7" s="266">
        <f t="shared" si="0"/>
        <v>0</v>
      </c>
      <c r="G7" s="264"/>
      <c r="H7" s="267">
        <f t="shared" si="7"/>
        <v>0</v>
      </c>
      <c r="I7" s="280" t="str">
        <f ca="1" t="shared" si="1"/>
        <v>是</v>
      </c>
      <c r="J7" s="281">
        <f ca="1" t="shared" si="2"/>
        <v>0</v>
      </c>
      <c r="K7" s="281">
        <f ca="1" t="shared" si="3"/>
        <v>0</v>
      </c>
      <c r="L7" s="281">
        <f ca="1" t="shared" si="4"/>
        <v>0</v>
      </c>
      <c r="M7" s="281">
        <f ca="1" t="shared" si="5"/>
        <v>0</v>
      </c>
      <c r="N7" s="281">
        <f ca="1" t="shared" si="6"/>
        <v>0</v>
      </c>
    </row>
    <row r="8" s="253" customFormat="1" ht="18.95" customHeight="1" spans="1:14">
      <c r="A8" s="263"/>
      <c r="B8" s="264">
        <v>4567</v>
      </c>
      <c r="C8" s="264"/>
      <c r="D8" s="265"/>
      <c r="E8" s="265"/>
      <c r="F8" s="266">
        <f t="shared" si="0"/>
        <v>0</v>
      </c>
      <c r="G8" s="264"/>
      <c r="H8" s="267">
        <f t="shared" si="7"/>
        <v>0</v>
      </c>
      <c r="I8" s="280" t="str">
        <f ca="1" t="shared" si="1"/>
        <v>是</v>
      </c>
      <c r="J8" s="281">
        <f ca="1" t="shared" si="2"/>
        <v>0</v>
      </c>
      <c r="K8" s="281">
        <f ca="1" t="shared" si="3"/>
        <v>0</v>
      </c>
      <c r="L8" s="281">
        <f ca="1" t="shared" si="4"/>
        <v>0</v>
      </c>
      <c r="M8" s="281">
        <f ca="1" t="shared" si="5"/>
        <v>0</v>
      </c>
      <c r="N8" s="281">
        <f ca="1" t="shared" si="6"/>
        <v>0</v>
      </c>
    </row>
    <row r="9" s="253" customFormat="1" ht="18.95" customHeight="1" spans="1:14">
      <c r="A9" s="263"/>
      <c r="B9" s="264"/>
      <c r="C9" s="264"/>
      <c r="D9" s="265"/>
      <c r="E9" s="265"/>
      <c r="F9" s="266">
        <f t="shared" si="0"/>
        <v>0</v>
      </c>
      <c r="G9" s="264"/>
      <c r="H9" s="267">
        <f t="shared" si="7"/>
        <v>0</v>
      </c>
      <c r="I9" s="280" t="str">
        <f ca="1" t="shared" si="1"/>
        <v>是</v>
      </c>
      <c r="J9" s="281">
        <f ca="1" t="shared" si="2"/>
        <v>0</v>
      </c>
      <c r="K9" s="281">
        <f ca="1" t="shared" si="3"/>
        <v>0</v>
      </c>
      <c r="L9" s="281">
        <f ca="1" t="shared" si="4"/>
        <v>0</v>
      </c>
      <c r="M9" s="281">
        <f ca="1" t="shared" si="5"/>
        <v>0</v>
      </c>
      <c r="N9" s="281">
        <f ca="1" t="shared" si="6"/>
        <v>0</v>
      </c>
    </row>
    <row r="10" s="253" customFormat="1" ht="18.95" customHeight="1" spans="1:14">
      <c r="A10" s="263"/>
      <c r="B10" s="264">
        <v>6789</v>
      </c>
      <c r="C10" s="264"/>
      <c r="D10" s="265"/>
      <c r="E10" s="265"/>
      <c r="F10" s="266">
        <f t="shared" si="0"/>
        <v>0</v>
      </c>
      <c r="G10" s="264"/>
      <c r="H10" s="267">
        <f t="shared" si="7"/>
        <v>0</v>
      </c>
      <c r="I10" s="280" t="str">
        <f ca="1" t="shared" si="1"/>
        <v>是</v>
      </c>
      <c r="J10" s="281">
        <f ca="1" t="shared" si="2"/>
        <v>0</v>
      </c>
      <c r="K10" s="281">
        <f ca="1" t="shared" si="3"/>
        <v>0</v>
      </c>
      <c r="L10" s="281">
        <f ca="1" t="shared" si="4"/>
        <v>0</v>
      </c>
      <c r="M10" s="281">
        <f ca="1" t="shared" si="5"/>
        <v>0</v>
      </c>
      <c r="N10" s="281">
        <f ca="1" t="shared" si="6"/>
        <v>0</v>
      </c>
    </row>
    <row r="11" s="253" customFormat="1" ht="18.95" customHeight="1" spans="1:14">
      <c r="A11" s="263"/>
      <c r="B11" s="264">
        <v>2134</v>
      </c>
      <c r="C11" s="264"/>
      <c r="D11" s="265"/>
      <c r="E11" s="265"/>
      <c r="F11" s="266">
        <f t="shared" si="0"/>
        <v>0</v>
      </c>
      <c r="G11" s="264"/>
      <c r="H11" s="267">
        <f t="shared" si="7"/>
        <v>0</v>
      </c>
      <c r="I11" s="280" t="str">
        <f ca="1" t="shared" si="1"/>
        <v>是</v>
      </c>
      <c r="J11" s="281">
        <f ca="1" t="shared" si="2"/>
        <v>0</v>
      </c>
      <c r="K11" s="281">
        <f ca="1" t="shared" si="3"/>
        <v>0</v>
      </c>
      <c r="L11" s="281">
        <f ca="1" t="shared" si="4"/>
        <v>0</v>
      </c>
      <c r="M11" s="281">
        <f ca="1" t="shared" si="5"/>
        <v>0</v>
      </c>
      <c r="N11" s="281">
        <f ca="1" t="shared" si="6"/>
        <v>0</v>
      </c>
    </row>
    <row r="12" s="253" customFormat="1" ht="18.95" customHeight="1" spans="1:14">
      <c r="A12" s="263"/>
      <c r="B12" s="264">
        <v>2135</v>
      </c>
      <c r="C12" s="264"/>
      <c r="D12" s="265"/>
      <c r="E12" s="265"/>
      <c r="F12" s="266">
        <f t="shared" si="0"/>
        <v>0</v>
      </c>
      <c r="G12" s="264"/>
      <c r="H12" s="267">
        <f t="shared" si="7"/>
        <v>0</v>
      </c>
      <c r="I12" s="280" t="str">
        <f ca="1" t="shared" si="1"/>
        <v>是</v>
      </c>
      <c r="J12" s="281">
        <f ca="1" t="shared" si="2"/>
        <v>0</v>
      </c>
      <c r="K12" s="281">
        <f ca="1" t="shared" si="3"/>
        <v>0</v>
      </c>
      <c r="L12" s="281">
        <f ca="1" t="shared" si="4"/>
        <v>0</v>
      </c>
      <c r="M12" s="281">
        <f ca="1" t="shared" si="5"/>
        <v>0</v>
      </c>
      <c r="N12" s="281">
        <f ca="1" t="shared" si="6"/>
        <v>0</v>
      </c>
    </row>
    <row r="13" s="253" customFormat="1" ht="18.95" customHeight="1" spans="1:14">
      <c r="A13" s="263"/>
      <c r="B13" s="264">
        <v>2136</v>
      </c>
      <c r="C13" s="264"/>
      <c r="D13" s="265"/>
      <c r="E13" s="265"/>
      <c r="F13" s="266">
        <f t="shared" si="0"/>
        <v>0</v>
      </c>
      <c r="G13" s="264"/>
      <c r="H13" s="267">
        <f t="shared" si="7"/>
        <v>0</v>
      </c>
      <c r="I13" s="280" t="str">
        <f ca="1" t="shared" si="1"/>
        <v>是</v>
      </c>
      <c r="J13" s="281">
        <f ca="1" t="shared" si="2"/>
        <v>0</v>
      </c>
      <c r="K13" s="281">
        <f ca="1" t="shared" si="3"/>
        <v>0</v>
      </c>
      <c r="L13" s="281">
        <f ca="1" t="shared" si="4"/>
        <v>0</v>
      </c>
      <c r="M13" s="281">
        <f ca="1" t="shared" si="5"/>
        <v>0</v>
      </c>
      <c r="N13" s="281">
        <f ca="1" t="shared" si="6"/>
        <v>0</v>
      </c>
    </row>
    <row r="14" s="253" customFormat="1" ht="18.95" customHeight="1" spans="1:14">
      <c r="A14" s="263"/>
      <c r="B14" s="264">
        <v>2137</v>
      </c>
      <c r="C14" s="264"/>
      <c r="D14" s="265"/>
      <c r="E14" s="265"/>
      <c r="F14" s="266">
        <f t="shared" si="0"/>
        <v>0</v>
      </c>
      <c r="G14" s="264"/>
      <c r="H14" s="267">
        <f t="shared" si="7"/>
        <v>0</v>
      </c>
      <c r="I14" s="280" t="str">
        <f ca="1" t="shared" si="1"/>
        <v>是</v>
      </c>
      <c r="J14" s="281">
        <f ca="1" t="shared" si="2"/>
        <v>0</v>
      </c>
      <c r="K14" s="281">
        <f ca="1" t="shared" si="3"/>
        <v>0</v>
      </c>
      <c r="L14" s="281">
        <f ca="1" t="shared" si="4"/>
        <v>0</v>
      </c>
      <c r="M14" s="281">
        <f ca="1" t="shared" si="5"/>
        <v>0</v>
      </c>
      <c r="N14" s="281">
        <f ca="1" t="shared" si="6"/>
        <v>0</v>
      </c>
    </row>
    <row r="15" s="253" customFormat="1" ht="18.95" customHeight="1" spans="1:14">
      <c r="A15" s="263"/>
      <c r="B15" s="264"/>
      <c r="C15" s="264"/>
      <c r="D15" s="265"/>
      <c r="E15" s="265"/>
      <c r="F15" s="266">
        <f t="shared" si="0"/>
        <v>0</v>
      </c>
      <c r="G15" s="264"/>
      <c r="H15" s="267">
        <f t="shared" si="7"/>
        <v>0</v>
      </c>
      <c r="I15" s="280" t="str">
        <f ca="1" t="shared" si="1"/>
        <v>是</v>
      </c>
      <c r="J15" s="281">
        <f ca="1" t="shared" si="2"/>
        <v>0</v>
      </c>
      <c r="K15" s="281">
        <f ca="1" t="shared" si="3"/>
        <v>0</v>
      </c>
      <c r="L15" s="281">
        <f ca="1" t="shared" si="4"/>
        <v>0</v>
      </c>
      <c r="M15" s="281">
        <f ca="1" t="shared" si="5"/>
        <v>0</v>
      </c>
      <c r="N15" s="281">
        <f ca="1" t="shared" si="6"/>
        <v>0</v>
      </c>
    </row>
    <row r="16" s="253" customFormat="1" ht="18.95" customHeight="1" spans="1:14">
      <c r="A16" s="263"/>
      <c r="B16" s="264"/>
      <c r="C16" s="264"/>
      <c r="D16" s="265"/>
      <c r="E16" s="265"/>
      <c r="F16" s="266">
        <f t="shared" si="0"/>
        <v>0</v>
      </c>
      <c r="G16" s="264"/>
      <c r="H16" s="267">
        <f t="shared" si="7"/>
        <v>0</v>
      </c>
      <c r="I16" s="280" t="str">
        <f ca="1" t="shared" si="1"/>
        <v>是</v>
      </c>
      <c r="J16" s="281">
        <f ca="1" t="shared" si="2"/>
        <v>0</v>
      </c>
      <c r="K16" s="281">
        <f ca="1" t="shared" si="3"/>
        <v>0</v>
      </c>
      <c r="L16" s="281">
        <f ca="1" t="shared" si="4"/>
        <v>0</v>
      </c>
      <c r="M16" s="281">
        <f ca="1" t="shared" si="5"/>
        <v>0</v>
      </c>
      <c r="N16" s="281">
        <f ca="1" t="shared" si="6"/>
        <v>0</v>
      </c>
    </row>
    <row r="17" s="253" customFormat="1" ht="18.95" customHeight="1" spans="1:14">
      <c r="A17" s="263"/>
      <c r="B17" s="264"/>
      <c r="C17" s="264"/>
      <c r="D17" s="265"/>
      <c r="E17" s="265"/>
      <c r="F17" s="266">
        <f t="shared" si="0"/>
        <v>0</v>
      </c>
      <c r="G17" s="264"/>
      <c r="H17" s="267">
        <f t="shared" si="7"/>
        <v>0</v>
      </c>
      <c r="I17" s="280" t="str">
        <f ca="1" t="shared" si="1"/>
        <v>是</v>
      </c>
      <c r="J17" s="281">
        <f ca="1" t="shared" si="2"/>
        <v>0</v>
      </c>
      <c r="K17" s="281">
        <f ca="1" t="shared" si="3"/>
        <v>0</v>
      </c>
      <c r="L17" s="281">
        <f ca="1" t="shared" si="4"/>
        <v>0</v>
      </c>
      <c r="M17" s="281">
        <f ca="1" t="shared" si="5"/>
        <v>0</v>
      </c>
      <c r="N17" s="281">
        <f ca="1" t="shared" si="6"/>
        <v>0</v>
      </c>
    </row>
    <row r="18" s="253" customFormat="1" ht="18.95" customHeight="1" spans="1:14">
      <c r="A18" s="263"/>
      <c r="B18" s="264"/>
      <c r="C18" s="264"/>
      <c r="D18" s="265"/>
      <c r="E18" s="265"/>
      <c r="F18" s="266">
        <f t="shared" si="0"/>
        <v>0</v>
      </c>
      <c r="G18" s="264"/>
      <c r="H18" s="267">
        <f t="shared" si="7"/>
        <v>0</v>
      </c>
      <c r="I18" s="280" t="str">
        <f ca="1" t="shared" si="1"/>
        <v>是</v>
      </c>
      <c r="J18" s="281">
        <f ca="1" t="shared" si="2"/>
        <v>0</v>
      </c>
      <c r="K18" s="281">
        <f ca="1" t="shared" si="3"/>
        <v>0</v>
      </c>
      <c r="L18" s="281">
        <f ca="1" t="shared" si="4"/>
        <v>0</v>
      </c>
      <c r="M18" s="281">
        <f ca="1" t="shared" si="5"/>
        <v>0</v>
      </c>
      <c r="N18" s="281">
        <f ca="1" t="shared" si="6"/>
        <v>0</v>
      </c>
    </row>
    <row r="19" s="253" customFormat="1" ht="18.95" customHeight="1" spans="1:14">
      <c r="A19" s="263"/>
      <c r="B19" s="264"/>
      <c r="C19" s="264"/>
      <c r="D19" s="265"/>
      <c r="E19" s="265"/>
      <c r="F19" s="266">
        <f t="shared" si="0"/>
        <v>0</v>
      </c>
      <c r="G19" s="264"/>
      <c r="H19" s="267">
        <f t="shared" si="7"/>
        <v>0</v>
      </c>
      <c r="I19" s="280" t="str">
        <f ca="1" t="shared" si="1"/>
        <v>是</v>
      </c>
      <c r="J19" s="281">
        <f ca="1" t="shared" si="2"/>
        <v>0</v>
      </c>
      <c r="K19" s="281">
        <f ca="1" t="shared" si="3"/>
        <v>0</v>
      </c>
      <c r="L19" s="281">
        <f ca="1" t="shared" si="4"/>
        <v>0</v>
      </c>
      <c r="M19" s="281">
        <f ca="1" t="shared" si="5"/>
        <v>0</v>
      </c>
      <c r="N19" s="281">
        <f ca="1" t="shared" si="6"/>
        <v>0</v>
      </c>
    </row>
    <row r="20" s="253" customFormat="1" ht="18.95" customHeight="1" spans="1:14">
      <c r="A20" s="263"/>
      <c r="B20" s="264"/>
      <c r="C20" s="264"/>
      <c r="D20" s="265"/>
      <c r="E20" s="265"/>
      <c r="F20" s="266">
        <f t="shared" si="0"/>
        <v>0</v>
      </c>
      <c r="G20" s="264"/>
      <c r="H20" s="267">
        <f t="shared" si="7"/>
        <v>0</v>
      </c>
      <c r="I20" s="280" t="str">
        <f ca="1" t="shared" si="1"/>
        <v>是</v>
      </c>
      <c r="J20" s="281">
        <f ca="1" t="shared" si="2"/>
        <v>0</v>
      </c>
      <c r="K20" s="281">
        <f ca="1" t="shared" si="3"/>
        <v>0</v>
      </c>
      <c r="L20" s="281">
        <f ca="1" t="shared" si="4"/>
        <v>0</v>
      </c>
      <c r="M20" s="281">
        <f ca="1" t="shared" si="5"/>
        <v>0</v>
      </c>
      <c r="N20" s="281">
        <f ca="1" t="shared" si="6"/>
        <v>0</v>
      </c>
    </row>
    <row r="21" s="253" customFormat="1" ht="18.95" customHeight="1" spans="1:14">
      <c r="A21" s="263"/>
      <c r="B21" s="264"/>
      <c r="C21" s="264"/>
      <c r="D21" s="265"/>
      <c r="E21" s="265"/>
      <c r="F21" s="266">
        <f t="shared" si="0"/>
        <v>0</v>
      </c>
      <c r="G21" s="264"/>
      <c r="H21" s="267">
        <f t="shared" si="7"/>
        <v>0</v>
      </c>
      <c r="I21" s="280" t="str">
        <f ca="1" t="shared" si="1"/>
        <v>是</v>
      </c>
      <c r="J21" s="281">
        <f ca="1" t="shared" si="2"/>
        <v>0</v>
      </c>
      <c r="K21" s="281">
        <f ca="1" t="shared" si="3"/>
        <v>0</v>
      </c>
      <c r="L21" s="281">
        <f ca="1" t="shared" si="4"/>
        <v>0</v>
      </c>
      <c r="M21" s="281">
        <f ca="1" t="shared" si="5"/>
        <v>0</v>
      </c>
      <c r="N21" s="281">
        <f ca="1" t="shared" si="6"/>
        <v>0</v>
      </c>
    </row>
    <row r="22" s="253" customFormat="1" ht="18.95" customHeight="1" spans="1:14">
      <c r="A22" s="263"/>
      <c r="B22" s="264"/>
      <c r="C22" s="264"/>
      <c r="D22" s="265"/>
      <c r="E22" s="265"/>
      <c r="F22" s="266">
        <f t="shared" si="0"/>
        <v>0</v>
      </c>
      <c r="G22" s="264"/>
      <c r="H22" s="267">
        <f t="shared" si="7"/>
        <v>0</v>
      </c>
      <c r="I22" s="280" t="str">
        <f ca="1" t="shared" si="1"/>
        <v>是</v>
      </c>
      <c r="J22" s="281">
        <f ca="1" t="shared" si="2"/>
        <v>0</v>
      </c>
      <c r="K22" s="281">
        <f ca="1" t="shared" si="3"/>
        <v>0</v>
      </c>
      <c r="L22" s="281">
        <f ca="1" t="shared" si="4"/>
        <v>0</v>
      </c>
      <c r="M22" s="281">
        <f ca="1" t="shared" si="5"/>
        <v>0</v>
      </c>
      <c r="N22" s="281">
        <f ca="1" t="shared" si="6"/>
        <v>0</v>
      </c>
    </row>
    <row r="23" s="253" customFormat="1" ht="18.95" customHeight="1" spans="1:14">
      <c r="A23" s="263"/>
      <c r="B23" s="264"/>
      <c r="C23" s="264"/>
      <c r="D23" s="265"/>
      <c r="E23" s="265"/>
      <c r="F23" s="266">
        <f t="shared" si="0"/>
        <v>0</v>
      </c>
      <c r="G23" s="264"/>
      <c r="H23" s="267">
        <f t="shared" si="7"/>
        <v>0</v>
      </c>
      <c r="I23" s="280" t="str">
        <f ca="1" t="shared" si="1"/>
        <v>是</v>
      </c>
      <c r="J23" s="281">
        <f ca="1" t="shared" si="2"/>
        <v>0</v>
      </c>
      <c r="K23" s="281">
        <f ca="1" t="shared" si="3"/>
        <v>0</v>
      </c>
      <c r="L23" s="281">
        <f ca="1" t="shared" si="4"/>
        <v>0</v>
      </c>
      <c r="M23" s="281">
        <f ca="1" t="shared" si="5"/>
        <v>0</v>
      </c>
      <c r="N23" s="281">
        <f ca="1" t="shared" si="6"/>
        <v>0</v>
      </c>
    </row>
    <row r="24" s="253" customFormat="1" ht="18.95" customHeight="1" spans="1:14">
      <c r="A24" s="263"/>
      <c r="B24" s="264"/>
      <c r="C24" s="264"/>
      <c r="D24" s="265"/>
      <c r="E24" s="265"/>
      <c r="F24" s="266">
        <f t="shared" si="0"/>
        <v>0</v>
      </c>
      <c r="G24" s="264"/>
      <c r="H24" s="267">
        <f t="shared" si="7"/>
        <v>0</v>
      </c>
      <c r="I24" s="280" t="str">
        <f ca="1" t="shared" si="1"/>
        <v>是</v>
      </c>
      <c r="J24" s="281">
        <f ca="1" t="shared" si="2"/>
        <v>0</v>
      </c>
      <c r="K24" s="281">
        <f ca="1" t="shared" si="3"/>
        <v>0</v>
      </c>
      <c r="L24" s="281">
        <f ca="1" t="shared" si="4"/>
        <v>0</v>
      </c>
      <c r="M24" s="281">
        <f ca="1" t="shared" si="5"/>
        <v>0</v>
      </c>
      <c r="N24" s="281">
        <f ca="1" t="shared" si="6"/>
        <v>0</v>
      </c>
    </row>
    <row r="25" s="253" customFormat="1" ht="18.95" customHeight="1" spans="1:14">
      <c r="A25" s="263"/>
      <c r="B25" s="264"/>
      <c r="C25" s="264"/>
      <c r="D25" s="265"/>
      <c r="E25" s="265"/>
      <c r="F25" s="266">
        <f t="shared" si="0"/>
        <v>0</v>
      </c>
      <c r="G25" s="264"/>
      <c r="H25" s="267">
        <f t="shared" si="7"/>
        <v>0</v>
      </c>
      <c r="I25" s="280" t="str">
        <f ca="1" t="shared" si="1"/>
        <v>是</v>
      </c>
      <c r="J25" s="281">
        <f ca="1" t="shared" si="2"/>
        <v>0</v>
      </c>
      <c r="K25" s="281">
        <f ca="1" t="shared" si="3"/>
        <v>0</v>
      </c>
      <c r="L25" s="281">
        <f ca="1" t="shared" si="4"/>
        <v>0</v>
      </c>
      <c r="M25" s="281">
        <f ca="1" t="shared" si="5"/>
        <v>0</v>
      </c>
      <c r="N25" s="281">
        <f ca="1" t="shared" si="6"/>
        <v>0</v>
      </c>
    </row>
    <row r="26" s="253" customFormat="1" ht="18.95" customHeight="1" spans="1:14">
      <c r="A26" s="263"/>
      <c r="B26" s="264"/>
      <c r="C26" s="264"/>
      <c r="D26" s="265"/>
      <c r="E26" s="265"/>
      <c r="F26" s="266">
        <f t="shared" si="0"/>
        <v>0</v>
      </c>
      <c r="G26" s="264"/>
      <c r="H26" s="267">
        <f t="shared" si="7"/>
        <v>0</v>
      </c>
      <c r="I26" s="280" t="str">
        <f ca="1" t="shared" si="1"/>
        <v>是</v>
      </c>
      <c r="J26" s="281">
        <f ca="1" t="shared" si="2"/>
        <v>0</v>
      </c>
      <c r="K26" s="281">
        <f ca="1" t="shared" si="3"/>
        <v>0</v>
      </c>
      <c r="L26" s="281">
        <f ca="1" t="shared" si="4"/>
        <v>0</v>
      </c>
      <c r="M26" s="281">
        <f ca="1" t="shared" si="5"/>
        <v>0</v>
      </c>
      <c r="N26" s="281">
        <f ca="1" t="shared" si="6"/>
        <v>0</v>
      </c>
    </row>
    <row r="27" s="253" customFormat="1" ht="18.95" customHeight="1" spans="1:14">
      <c r="A27" s="263"/>
      <c r="B27" s="264"/>
      <c r="C27" s="264"/>
      <c r="D27" s="265"/>
      <c r="E27" s="265"/>
      <c r="F27" s="266">
        <f t="shared" si="0"/>
        <v>0</v>
      </c>
      <c r="G27" s="264"/>
      <c r="H27" s="267">
        <f t="shared" si="7"/>
        <v>0</v>
      </c>
      <c r="I27" s="280" t="str">
        <f ca="1" t="shared" si="1"/>
        <v>是</v>
      </c>
      <c r="J27" s="281">
        <f ca="1" t="shared" si="2"/>
        <v>0</v>
      </c>
      <c r="K27" s="281">
        <f ca="1" t="shared" si="3"/>
        <v>0</v>
      </c>
      <c r="L27" s="281">
        <f ca="1" t="shared" si="4"/>
        <v>0</v>
      </c>
      <c r="M27" s="281">
        <f ca="1" t="shared" si="5"/>
        <v>0</v>
      </c>
      <c r="N27" s="281">
        <f ca="1" t="shared" si="6"/>
        <v>0</v>
      </c>
    </row>
    <row r="28" s="253" customFormat="1" ht="18.95" customHeight="1" spans="1:14">
      <c r="A28" s="263"/>
      <c r="B28" s="264"/>
      <c r="C28" s="264"/>
      <c r="D28" s="265"/>
      <c r="E28" s="265"/>
      <c r="F28" s="266">
        <f t="shared" si="0"/>
        <v>0</v>
      </c>
      <c r="G28" s="264"/>
      <c r="H28" s="267">
        <f t="shared" si="7"/>
        <v>0</v>
      </c>
      <c r="I28" s="280" t="str">
        <f ca="1" t="shared" si="1"/>
        <v>是</v>
      </c>
      <c r="J28" s="281">
        <f ca="1" t="shared" si="2"/>
        <v>0</v>
      </c>
      <c r="K28" s="281">
        <f ca="1" t="shared" si="3"/>
        <v>0</v>
      </c>
      <c r="L28" s="281">
        <f ca="1" t="shared" si="4"/>
        <v>0</v>
      </c>
      <c r="M28" s="281">
        <f ca="1" t="shared" si="5"/>
        <v>0</v>
      </c>
      <c r="N28" s="281">
        <f ca="1" t="shared" si="6"/>
        <v>0</v>
      </c>
    </row>
    <row r="29" s="253" customFormat="1" ht="18.95" customHeight="1" spans="1:14">
      <c r="A29" s="263"/>
      <c r="B29" s="264">
        <v>2138</v>
      </c>
      <c r="C29" s="264"/>
      <c r="D29" s="265"/>
      <c r="E29" s="265"/>
      <c r="F29" s="266">
        <f t="shared" si="0"/>
        <v>0</v>
      </c>
      <c r="G29" s="264"/>
      <c r="H29" s="267">
        <f t="shared" si="7"/>
        <v>0</v>
      </c>
      <c r="I29" s="280" t="str">
        <f ca="1" t="shared" si="1"/>
        <v>是</v>
      </c>
      <c r="J29" s="281">
        <f ca="1" t="shared" si="2"/>
        <v>0</v>
      </c>
      <c r="K29" s="281">
        <f ca="1" t="shared" si="3"/>
        <v>0</v>
      </c>
      <c r="L29" s="281">
        <f ca="1" t="shared" si="4"/>
        <v>0</v>
      </c>
      <c r="M29" s="281">
        <f ca="1" t="shared" si="5"/>
        <v>0</v>
      </c>
      <c r="N29" s="281">
        <f ca="1" t="shared" si="6"/>
        <v>0</v>
      </c>
    </row>
    <row r="30" s="253" customFormat="1" ht="18.95" customHeight="1" spans="1:14">
      <c r="A30" s="263"/>
      <c r="B30" s="264">
        <v>2139</v>
      </c>
      <c r="C30" s="264"/>
      <c r="D30" s="265"/>
      <c r="E30" s="265"/>
      <c r="F30" s="266">
        <f t="shared" si="0"/>
        <v>0</v>
      </c>
      <c r="G30" s="264"/>
      <c r="H30" s="267">
        <f t="shared" si="7"/>
        <v>0</v>
      </c>
      <c r="I30" s="280" t="str">
        <f ca="1" t="shared" si="1"/>
        <v>是</v>
      </c>
      <c r="J30" s="281">
        <f ca="1" t="shared" si="2"/>
        <v>0</v>
      </c>
      <c r="K30" s="281">
        <f ca="1" t="shared" si="3"/>
        <v>0</v>
      </c>
      <c r="L30" s="281">
        <f ca="1" t="shared" si="4"/>
        <v>0</v>
      </c>
      <c r="M30" s="281">
        <f ca="1" t="shared" si="5"/>
        <v>0</v>
      </c>
      <c r="N30" s="281">
        <f ca="1" t="shared" si="6"/>
        <v>0</v>
      </c>
    </row>
    <row r="31" s="253" customFormat="1" ht="18.95" customHeight="1" spans="1:14">
      <c r="A31" s="263"/>
      <c r="B31" s="264">
        <v>2140</v>
      </c>
      <c r="C31" s="264"/>
      <c r="D31" s="265"/>
      <c r="E31" s="265"/>
      <c r="F31" s="266">
        <f t="shared" si="0"/>
        <v>0</v>
      </c>
      <c r="G31" s="264"/>
      <c r="H31" s="267">
        <f t="shared" si="7"/>
        <v>0</v>
      </c>
      <c r="I31" s="280" t="str">
        <f ca="1" t="shared" si="1"/>
        <v>是</v>
      </c>
      <c r="J31" s="281">
        <f ca="1" t="shared" si="2"/>
        <v>0</v>
      </c>
      <c r="K31" s="281">
        <f ca="1" t="shared" si="3"/>
        <v>0</v>
      </c>
      <c r="L31" s="281">
        <f ca="1" t="shared" si="4"/>
        <v>0</v>
      </c>
      <c r="M31" s="281">
        <f ca="1" t="shared" si="5"/>
        <v>0</v>
      </c>
      <c r="N31" s="281">
        <f ca="1" t="shared" si="6"/>
        <v>0</v>
      </c>
    </row>
    <row r="32" s="253" customFormat="1" ht="18.95" customHeight="1" spans="1:14">
      <c r="A32" s="263"/>
      <c r="B32" s="264">
        <v>2141</v>
      </c>
      <c r="C32" s="264"/>
      <c r="D32" s="265"/>
      <c r="E32" s="265"/>
      <c r="F32" s="266">
        <f t="shared" si="0"/>
        <v>0</v>
      </c>
      <c r="G32" s="264"/>
      <c r="H32" s="267">
        <f t="shared" si="7"/>
        <v>0</v>
      </c>
      <c r="I32" s="280" t="str">
        <f ca="1" t="shared" si="1"/>
        <v>是</v>
      </c>
      <c r="J32" s="281">
        <f ca="1" t="shared" si="2"/>
        <v>0</v>
      </c>
      <c r="K32" s="281">
        <f ca="1" t="shared" si="3"/>
        <v>0</v>
      </c>
      <c r="L32" s="281">
        <f ca="1" t="shared" si="4"/>
        <v>0</v>
      </c>
      <c r="M32" s="281">
        <f ca="1" t="shared" si="5"/>
        <v>0</v>
      </c>
      <c r="N32" s="281">
        <f ca="1" t="shared" si="6"/>
        <v>0</v>
      </c>
    </row>
    <row r="33" s="253" customFormat="1" ht="18.95" customHeight="1" spans="1:14">
      <c r="A33" s="263"/>
      <c r="B33" s="264">
        <v>2142</v>
      </c>
      <c r="C33" s="264"/>
      <c r="D33" s="265"/>
      <c r="E33" s="265"/>
      <c r="F33" s="266">
        <f t="shared" si="0"/>
        <v>0</v>
      </c>
      <c r="G33" s="264"/>
      <c r="H33" s="267">
        <f t="shared" si="7"/>
        <v>0</v>
      </c>
      <c r="I33" s="280" t="str">
        <f ca="1" t="shared" si="1"/>
        <v>是</v>
      </c>
      <c r="J33" s="281">
        <f ca="1" t="shared" si="2"/>
        <v>0</v>
      </c>
      <c r="K33" s="281">
        <f ca="1" t="shared" si="3"/>
        <v>0</v>
      </c>
      <c r="L33" s="281">
        <f ca="1" t="shared" si="4"/>
        <v>0</v>
      </c>
      <c r="M33" s="281">
        <f ca="1" t="shared" si="5"/>
        <v>0</v>
      </c>
      <c r="N33" s="281">
        <f ca="1" t="shared" si="6"/>
        <v>0</v>
      </c>
    </row>
    <row r="34" s="253" customFormat="1" ht="18.95" customHeight="1" spans="1:14">
      <c r="A34" s="263"/>
      <c r="B34" s="264">
        <v>2143</v>
      </c>
      <c r="C34" s="264"/>
      <c r="D34" s="265"/>
      <c r="E34" s="265"/>
      <c r="F34" s="266">
        <f t="shared" si="0"/>
        <v>0</v>
      </c>
      <c r="G34" s="264"/>
      <c r="H34" s="267">
        <f t="shared" si="7"/>
        <v>0</v>
      </c>
      <c r="I34" s="280" t="str">
        <f ca="1" t="shared" si="1"/>
        <v>是</v>
      </c>
      <c r="J34" s="281">
        <f ca="1" t="shared" si="2"/>
        <v>0</v>
      </c>
      <c r="K34" s="281">
        <f ca="1" t="shared" si="3"/>
        <v>0</v>
      </c>
      <c r="L34" s="281">
        <f ca="1" t="shared" si="4"/>
        <v>0</v>
      </c>
      <c r="M34" s="281">
        <f ca="1" t="shared" si="5"/>
        <v>0</v>
      </c>
      <c r="N34" s="281">
        <f ca="1" t="shared" si="6"/>
        <v>0</v>
      </c>
    </row>
    <row r="35" ht="18.95" customHeight="1" spans="1:15">
      <c r="A35" s="268" t="s">
        <v>1311</v>
      </c>
      <c r="B35" s="269"/>
      <c r="C35" s="270"/>
      <c r="D35" s="271">
        <f t="shared" ref="D35:F35" si="8">SUM(D5:D34)</f>
        <v>0</v>
      </c>
      <c r="E35" s="271">
        <f t="shared" si="8"/>
        <v>0</v>
      </c>
      <c r="F35" s="272">
        <f t="shared" si="8"/>
        <v>0</v>
      </c>
      <c r="G35" s="273"/>
      <c r="H35" s="273"/>
      <c r="I35" s="273"/>
      <c r="J35" s="281">
        <f ca="1" t="shared" ref="J35:N35" si="9">SUM(J5:J34)</f>
        <v>0</v>
      </c>
      <c r="K35" s="281">
        <f ca="1" t="shared" si="9"/>
        <v>0</v>
      </c>
      <c r="L35" s="281">
        <f ca="1" t="shared" si="9"/>
        <v>0</v>
      </c>
      <c r="M35" s="281">
        <f ca="1" t="shared" si="9"/>
        <v>0</v>
      </c>
      <c r="N35" s="281">
        <f ca="1" t="shared" si="9"/>
        <v>0</v>
      </c>
      <c r="O35" s="282"/>
    </row>
    <row r="36" ht="16.5" spans="1:15">
      <c r="A36" s="274"/>
      <c r="B36" s="274"/>
      <c r="C36" s="274"/>
      <c r="D36" s="274"/>
      <c r="E36" s="274"/>
      <c r="F36" s="274"/>
      <c r="G36" s="274"/>
      <c r="H36" s="274"/>
      <c r="I36" s="274"/>
      <c r="J36" s="274"/>
      <c r="K36" s="274"/>
      <c r="L36" s="274"/>
      <c r="M36" s="274"/>
      <c r="N36" s="274"/>
      <c r="O36" s="282"/>
    </row>
    <row r="37" ht="16.5" spans="1:15">
      <c r="A37" s="275"/>
      <c r="B37" s="275"/>
      <c r="C37" s="275"/>
      <c r="D37" s="275"/>
      <c r="E37" s="275"/>
      <c r="F37" s="275"/>
      <c r="G37" s="275"/>
      <c r="H37" s="275"/>
      <c r="I37" s="275"/>
      <c r="J37" s="275"/>
      <c r="K37" s="275"/>
      <c r="L37" s="275"/>
      <c r="M37" s="275"/>
      <c r="N37" s="275"/>
      <c r="O37" s="282"/>
    </row>
    <row r="38" ht="16.5" spans="1:15">
      <c r="A38" s="275"/>
      <c r="B38" s="275"/>
      <c r="C38" s="275"/>
      <c r="D38" s="275"/>
      <c r="E38" s="275"/>
      <c r="F38" s="275"/>
      <c r="G38" s="275"/>
      <c r="H38" s="275"/>
      <c r="I38" s="275"/>
      <c r="J38" s="275"/>
      <c r="K38" s="275"/>
      <c r="L38" s="275"/>
      <c r="M38" s="275"/>
      <c r="N38" s="275"/>
      <c r="O38" s="282"/>
    </row>
    <row r="39" ht="14.25" spans="1:14">
      <c r="A39" s="275"/>
      <c r="B39" s="275"/>
      <c r="C39" s="275"/>
      <c r="D39" s="275"/>
      <c r="E39" s="275"/>
      <c r="F39" s="275"/>
      <c r="G39" s="275"/>
      <c r="H39" s="275"/>
      <c r="I39" s="275"/>
      <c r="J39" s="275"/>
      <c r="K39" s="275"/>
      <c r="L39" s="275"/>
      <c r="M39" s="275"/>
      <c r="N39" s="275"/>
    </row>
    <row r="40" ht="14.25" spans="1:14">
      <c r="A40" s="275"/>
      <c r="B40" s="275"/>
      <c r="C40" s="275"/>
      <c r="D40" s="275"/>
      <c r="E40" s="275"/>
      <c r="F40" s="275"/>
      <c r="G40" s="275"/>
      <c r="H40" s="275"/>
      <c r="I40" s="275"/>
      <c r="J40" s="275"/>
      <c r="K40" s="275"/>
      <c r="L40" s="275"/>
      <c r="M40" s="275"/>
      <c r="N40" s="275"/>
    </row>
    <row r="41" ht="14.25" spans="1:14">
      <c r="A41" s="275"/>
      <c r="B41" s="275"/>
      <c r="C41" s="275"/>
      <c r="D41" s="275"/>
      <c r="E41" s="275"/>
      <c r="F41" s="275"/>
      <c r="G41" s="275"/>
      <c r="H41" s="275"/>
      <c r="I41" s="275"/>
      <c r="J41" s="275"/>
      <c r="K41" s="275"/>
      <c r="L41" s="275"/>
      <c r="M41" s="275"/>
      <c r="N41" s="275"/>
    </row>
    <row r="42" ht="14.25" spans="1:14">
      <c r="A42" s="275"/>
      <c r="B42" s="275"/>
      <c r="C42" s="275"/>
      <c r="D42" s="275"/>
      <c r="E42" s="275"/>
      <c r="F42" s="275"/>
      <c r="G42" s="275"/>
      <c r="H42" s="275"/>
      <c r="I42" s="275"/>
      <c r="J42" s="275"/>
      <c r="K42" s="275"/>
      <c r="L42" s="275"/>
      <c r="M42" s="275"/>
      <c r="N42" s="275"/>
    </row>
    <row r="43" ht="14.25" spans="1:14">
      <c r="A43" s="275"/>
      <c r="B43" s="275"/>
      <c r="C43" s="275"/>
      <c r="D43" s="275"/>
      <c r="E43" s="275"/>
      <c r="F43" s="275"/>
      <c r="G43" s="275"/>
      <c r="H43" s="275"/>
      <c r="I43" s="275"/>
      <c r="J43" s="275"/>
      <c r="K43" s="275"/>
      <c r="L43" s="275"/>
      <c r="M43" s="275"/>
      <c r="N43" s="275"/>
    </row>
  </sheetData>
  <mergeCells count="17">
    <mergeCell ref="A1:N1"/>
    <mergeCell ref="A2:E2"/>
    <mergeCell ref="G2:I2"/>
    <mergeCell ref="J2:N2"/>
    <mergeCell ref="K3:N3"/>
    <mergeCell ref="A35:C35"/>
    <mergeCell ref="G35:I35"/>
    <mergeCell ref="A36:N36"/>
    <mergeCell ref="A3:A4"/>
    <mergeCell ref="C3:C4"/>
    <mergeCell ref="D3:D4"/>
    <mergeCell ref="E3:E4"/>
    <mergeCell ref="F3:F4"/>
    <mergeCell ref="G3:G4"/>
    <mergeCell ref="H3:H4"/>
    <mergeCell ref="I3:I4"/>
    <mergeCell ref="J3:J4"/>
  </mergeCells>
  <conditionalFormatting sqref="I5:I34">
    <cfRule type="cellIs" dxfId="8" priority="1" stopIfTrue="1" operator="equal">
      <formula>"否"</formula>
    </cfRule>
    <cfRule type="cellIs" dxfId="9" priority="2" stopIfTrue="1" operator="equal">
      <formula>"是"</formula>
    </cfRule>
  </conditionalFormatting>
  <pageMargins left="0.75" right="0.75" top="1" bottom="1" header="0.509027777777778" footer="0.509027777777778"/>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IV36"/>
  <sheetViews>
    <sheetView zoomScale="90" zoomScaleNormal="90" workbookViewId="0">
      <selection activeCell="J8" sqref="J8"/>
    </sheetView>
  </sheetViews>
  <sheetFormatPr defaultColWidth="9" defaultRowHeight="17.25"/>
  <cols>
    <col min="1" max="1" width="7.75" style="234" customWidth="1"/>
    <col min="2" max="2" width="17.125" style="234" customWidth="1"/>
    <col min="3" max="14" width="9.125" style="235" customWidth="1"/>
    <col min="15" max="16384" width="9" style="234"/>
  </cols>
  <sheetData>
    <row r="1" s="147" customFormat="1" ht="24.95" customHeight="1" spans="1:256">
      <c r="A1" s="236" t="s">
        <v>1312</v>
      </c>
      <c r="B1" s="236"/>
      <c r="C1" s="237"/>
      <c r="D1" s="237"/>
      <c r="E1" s="237"/>
      <c r="F1" s="237"/>
      <c r="G1" s="237"/>
      <c r="H1" s="237"/>
      <c r="I1" s="237"/>
      <c r="J1" s="237"/>
      <c r="K1" s="237"/>
      <c r="L1" s="237"/>
      <c r="M1" s="237"/>
      <c r="N1" s="237"/>
      <c r="O1" s="234"/>
      <c r="P1" s="234"/>
      <c r="Q1" s="234"/>
      <c r="R1" s="234"/>
      <c r="S1" s="234"/>
      <c r="T1" s="234"/>
      <c r="U1" s="234"/>
      <c r="V1" s="234"/>
      <c r="W1" s="234"/>
      <c r="X1" s="234"/>
      <c r="Y1" s="234"/>
      <c r="Z1" s="234"/>
      <c r="AA1" s="234"/>
      <c r="AB1" s="234"/>
      <c r="AC1" s="234"/>
      <c r="AD1" s="234"/>
      <c r="AE1" s="234"/>
      <c r="AF1" s="234"/>
      <c r="AG1" s="234"/>
      <c r="AH1" s="234"/>
      <c r="AI1" s="234"/>
      <c r="AJ1" s="234"/>
      <c r="AK1" s="234"/>
      <c r="AL1" s="234"/>
      <c r="AM1" s="234"/>
      <c r="AN1" s="234"/>
      <c r="AO1" s="234"/>
      <c r="AP1" s="234"/>
      <c r="AQ1" s="234"/>
      <c r="AR1" s="234"/>
      <c r="AS1" s="234"/>
      <c r="AT1" s="234"/>
      <c r="AU1" s="234"/>
      <c r="AV1" s="234"/>
      <c r="AW1" s="234"/>
      <c r="AX1" s="234"/>
      <c r="AY1" s="234"/>
      <c r="AZ1" s="234"/>
      <c r="BA1" s="234"/>
      <c r="BB1" s="234"/>
      <c r="BC1" s="234"/>
      <c r="BD1" s="234"/>
      <c r="BE1" s="234"/>
      <c r="BF1" s="234"/>
      <c r="BG1" s="234"/>
      <c r="BH1" s="234"/>
      <c r="BI1" s="234"/>
      <c r="BJ1" s="234"/>
      <c r="BK1" s="234"/>
      <c r="BL1" s="234"/>
      <c r="BM1" s="234"/>
      <c r="BN1" s="234"/>
      <c r="BO1" s="234"/>
      <c r="BP1" s="234"/>
      <c r="BQ1" s="234"/>
      <c r="BR1" s="234"/>
      <c r="BS1" s="234"/>
      <c r="BT1" s="234"/>
      <c r="BU1" s="234"/>
      <c r="BV1" s="234"/>
      <c r="BW1" s="234"/>
      <c r="BX1" s="234"/>
      <c r="BY1" s="234"/>
      <c r="BZ1" s="234"/>
      <c r="CA1" s="234"/>
      <c r="CB1" s="234"/>
      <c r="CC1" s="234"/>
      <c r="CD1" s="234"/>
      <c r="CE1" s="234"/>
      <c r="CF1" s="234"/>
      <c r="CG1" s="234"/>
      <c r="CH1" s="234"/>
      <c r="CI1" s="234"/>
      <c r="CJ1" s="234"/>
      <c r="CK1" s="234"/>
      <c r="CL1" s="234"/>
      <c r="CM1" s="234"/>
      <c r="CN1" s="234"/>
      <c r="CO1" s="234"/>
      <c r="CP1" s="234"/>
      <c r="CQ1" s="234"/>
      <c r="CR1" s="234"/>
      <c r="CS1" s="234"/>
      <c r="CT1" s="234"/>
      <c r="CU1" s="234"/>
      <c r="CV1" s="234"/>
      <c r="CW1" s="234"/>
      <c r="CX1" s="234"/>
      <c r="CY1" s="234"/>
      <c r="CZ1" s="234"/>
      <c r="DA1" s="234"/>
      <c r="DB1" s="234"/>
      <c r="DC1" s="234"/>
      <c r="DD1" s="234"/>
      <c r="DE1" s="234"/>
      <c r="DF1" s="234"/>
      <c r="DG1" s="234"/>
      <c r="DH1" s="234"/>
      <c r="DI1" s="234"/>
      <c r="DJ1" s="234"/>
      <c r="DK1" s="234"/>
      <c r="DL1" s="234"/>
      <c r="DM1" s="234"/>
      <c r="DN1" s="234"/>
      <c r="DO1" s="234"/>
      <c r="DP1" s="234"/>
      <c r="DQ1" s="234"/>
      <c r="DR1" s="234"/>
      <c r="DS1" s="234"/>
      <c r="DT1" s="234"/>
      <c r="DU1" s="234"/>
      <c r="DV1" s="234"/>
      <c r="DW1" s="234"/>
      <c r="DX1" s="234"/>
      <c r="DY1" s="234"/>
      <c r="DZ1" s="234"/>
      <c r="EA1" s="234"/>
      <c r="EB1" s="234"/>
      <c r="EC1" s="234"/>
      <c r="ED1" s="234"/>
      <c r="EE1" s="234"/>
      <c r="EF1" s="234"/>
      <c r="EG1" s="234"/>
      <c r="EH1" s="234"/>
      <c r="EI1" s="234"/>
      <c r="EJ1" s="234"/>
      <c r="EK1" s="234"/>
      <c r="EL1" s="234"/>
      <c r="EM1" s="234"/>
      <c r="EN1" s="234"/>
      <c r="EO1" s="234"/>
      <c r="EP1" s="234"/>
      <c r="EQ1" s="234"/>
      <c r="ER1" s="234"/>
      <c r="ES1" s="234"/>
      <c r="ET1" s="234"/>
      <c r="EU1" s="234"/>
      <c r="EV1" s="234"/>
      <c r="EW1" s="234"/>
      <c r="EX1" s="234"/>
      <c r="EY1" s="234"/>
      <c r="EZ1" s="234"/>
      <c r="FA1" s="234"/>
      <c r="FB1" s="234"/>
      <c r="FC1" s="234"/>
      <c r="FD1" s="234"/>
      <c r="FE1" s="234"/>
      <c r="FF1" s="234"/>
      <c r="FG1" s="234"/>
      <c r="FH1" s="234"/>
      <c r="FI1" s="234"/>
      <c r="FJ1" s="234"/>
      <c r="FK1" s="234"/>
      <c r="FL1" s="234"/>
      <c r="FM1" s="234"/>
      <c r="FN1" s="234"/>
      <c r="FO1" s="234"/>
      <c r="FP1" s="234"/>
      <c r="FQ1" s="234"/>
      <c r="FR1" s="234"/>
      <c r="FS1" s="234"/>
      <c r="FT1" s="234"/>
      <c r="FU1" s="234"/>
      <c r="FV1" s="234"/>
      <c r="FW1" s="234"/>
      <c r="FX1" s="234"/>
      <c r="FY1" s="234"/>
      <c r="FZ1" s="234"/>
      <c r="GA1" s="234"/>
      <c r="GB1" s="234"/>
      <c r="GC1" s="234"/>
      <c r="GD1" s="234"/>
      <c r="GE1" s="234"/>
      <c r="GF1" s="234"/>
      <c r="GG1" s="234"/>
      <c r="GH1" s="234"/>
      <c r="GI1" s="234"/>
      <c r="GJ1" s="234"/>
      <c r="GK1" s="234"/>
      <c r="GL1" s="234"/>
      <c r="GM1" s="234"/>
      <c r="GN1" s="234"/>
      <c r="GO1" s="234"/>
      <c r="GP1" s="234"/>
      <c r="GQ1" s="234"/>
      <c r="GR1" s="234"/>
      <c r="GS1" s="234"/>
      <c r="GT1" s="234"/>
      <c r="GU1" s="234"/>
      <c r="GV1" s="234"/>
      <c r="GW1" s="234"/>
      <c r="GX1" s="234"/>
      <c r="GY1" s="234"/>
      <c r="GZ1" s="234"/>
      <c r="HA1" s="234"/>
      <c r="HB1" s="234"/>
      <c r="HC1" s="234"/>
      <c r="HD1" s="234"/>
      <c r="HE1" s="234"/>
      <c r="HF1" s="234"/>
      <c r="HG1" s="234"/>
      <c r="HH1" s="234"/>
      <c r="HI1" s="234"/>
      <c r="HJ1" s="234"/>
      <c r="HK1" s="234"/>
      <c r="HL1" s="234"/>
      <c r="HM1" s="234"/>
      <c r="HN1" s="234"/>
      <c r="HO1" s="234"/>
      <c r="HP1" s="234"/>
      <c r="HQ1" s="234"/>
      <c r="HR1" s="234"/>
      <c r="HS1" s="234"/>
      <c r="HT1" s="234"/>
      <c r="HU1" s="234"/>
      <c r="HV1" s="234"/>
      <c r="HW1" s="234"/>
      <c r="HX1" s="234"/>
      <c r="HY1" s="234"/>
      <c r="HZ1" s="234"/>
      <c r="IA1" s="234"/>
      <c r="IB1" s="234"/>
      <c r="IC1" s="234"/>
      <c r="ID1" s="234"/>
      <c r="IE1" s="234"/>
      <c r="IF1" s="234"/>
      <c r="IG1" s="234"/>
      <c r="IH1" s="234"/>
      <c r="II1" s="234"/>
      <c r="IJ1" s="234"/>
      <c r="IK1" s="234"/>
      <c r="IL1" s="234"/>
      <c r="IM1" s="234"/>
      <c r="IN1" s="234"/>
      <c r="IO1" s="234"/>
      <c r="IP1" s="234"/>
      <c r="IQ1" s="234"/>
      <c r="IR1" s="234"/>
      <c r="IS1" s="234"/>
      <c r="IT1" s="234"/>
      <c r="IU1" s="234"/>
      <c r="IV1" s="234"/>
    </row>
    <row r="2" s="147" customFormat="1" ht="15" customHeight="1" spans="1:256">
      <c r="A2" s="238"/>
      <c r="B2" s="238"/>
      <c r="C2" s="239"/>
      <c r="D2" s="239"/>
      <c r="E2" s="239"/>
      <c r="F2" s="240" t="s">
        <v>920</v>
      </c>
      <c r="G2" s="240"/>
      <c r="H2" s="240"/>
      <c r="I2" s="239"/>
      <c r="J2" s="239"/>
      <c r="K2" s="239"/>
      <c r="L2" s="239"/>
      <c r="M2" s="240" t="s">
        <v>1313</v>
      </c>
      <c r="N2" s="240"/>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234"/>
      <c r="AY2" s="234"/>
      <c r="AZ2" s="234"/>
      <c r="BA2" s="234"/>
      <c r="BB2" s="234"/>
      <c r="BC2" s="234"/>
      <c r="BD2" s="234"/>
      <c r="BE2" s="234"/>
      <c r="BF2" s="234"/>
      <c r="BG2" s="234"/>
      <c r="BH2" s="234"/>
      <c r="BI2" s="234"/>
      <c r="BJ2" s="234"/>
      <c r="BK2" s="234"/>
      <c r="BL2" s="234"/>
      <c r="BM2" s="234"/>
      <c r="BN2" s="234"/>
      <c r="BO2" s="234"/>
      <c r="BP2" s="234"/>
      <c r="BQ2" s="234"/>
      <c r="BR2" s="234"/>
      <c r="BS2" s="234"/>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234"/>
      <c r="DU2" s="234"/>
      <c r="DV2" s="234"/>
      <c r="DW2" s="234"/>
      <c r="DX2" s="234"/>
      <c r="DY2" s="234"/>
      <c r="DZ2" s="234"/>
      <c r="EA2" s="234"/>
      <c r="EB2" s="234"/>
      <c r="EC2" s="234"/>
      <c r="ED2" s="234"/>
      <c r="EE2" s="234"/>
      <c r="EF2" s="234"/>
      <c r="EG2" s="234"/>
      <c r="EH2" s="234"/>
      <c r="EI2" s="234"/>
      <c r="EJ2" s="234"/>
      <c r="EK2" s="234"/>
      <c r="EL2" s="234"/>
      <c r="EM2" s="234"/>
      <c r="EN2" s="234"/>
      <c r="EO2" s="234"/>
      <c r="EP2" s="234"/>
      <c r="EQ2" s="234"/>
      <c r="ER2" s="234"/>
      <c r="ES2" s="234"/>
      <c r="ET2" s="234"/>
      <c r="EU2" s="234"/>
      <c r="EV2" s="234"/>
      <c r="EW2" s="234"/>
      <c r="EX2" s="234"/>
      <c r="EY2" s="234"/>
      <c r="EZ2" s="234"/>
      <c r="FA2" s="234"/>
      <c r="FB2" s="234"/>
      <c r="FC2" s="234"/>
      <c r="FD2" s="234"/>
      <c r="FE2" s="234"/>
      <c r="FF2" s="234"/>
      <c r="FG2" s="234"/>
      <c r="FH2" s="234"/>
      <c r="FI2" s="234"/>
      <c r="FJ2" s="234"/>
      <c r="FK2" s="234"/>
      <c r="FL2" s="234"/>
      <c r="FM2" s="234"/>
      <c r="FN2" s="234"/>
      <c r="FO2" s="234"/>
      <c r="FP2" s="234"/>
      <c r="FQ2" s="234"/>
      <c r="FR2" s="234"/>
      <c r="FS2" s="234"/>
      <c r="FT2" s="234"/>
      <c r="FU2" s="234"/>
      <c r="FV2" s="234"/>
      <c r="FW2" s="234"/>
      <c r="FX2" s="234"/>
      <c r="FY2" s="234"/>
      <c r="FZ2" s="234"/>
      <c r="GA2" s="234"/>
      <c r="GB2" s="234"/>
      <c r="GC2" s="234"/>
      <c r="GD2" s="234"/>
      <c r="GE2" s="234"/>
      <c r="GF2" s="234"/>
      <c r="GG2" s="234"/>
      <c r="GH2" s="234"/>
      <c r="GI2" s="234"/>
      <c r="GJ2" s="234"/>
      <c r="GK2" s="234"/>
      <c r="GL2" s="234"/>
      <c r="GM2" s="234"/>
      <c r="GN2" s="234"/>
      <c r="GO2" s="234"/>
      <c r="GP2" s="234"/>
      <c r="GQ2" s="234"/>
      <c r="GR2" s="234"/>
      <c r="GS2" s="234"/>
      <c r="GT2" s="234"/>
      <c r="GU2" s="234"/>
      <c r="GV2" s="234"/>
      <c r="GW2" s="234"/>
      <c r="GX2" s="234"/>
      <c r="GY2" s="234"/>
      <c r="GZ2" s="234"/>
      <c r="HA2" s="234"/>
      <c r="HB2" s="234"/>
      <c r="HC2" s="234"/>
      <c r="HD2" s="234"/>
      <c r="HE2" s="234"/>
      <c r="HF2" s="234"/>
      <c r="HG2" s="234"/>
      <c r="HH2" s="234"/>
      <c r="HI2" s="234"/>
      <c r="HJ2" s="234"/>
      <c r="HK2" s="234"/>
      <c r="HL2" s="234"/>
      <c r="HM2" s="234"/>
      <c r="HN2" s="234"/>
      <c r="HO2" s="234"/>
      <c r="HP2" s="234"/>
      <c r="HQ2" s="234"/>
      <c r="HR2" s="234"/>
      <c r="HS2" s="234"/>
      <c r="HT2" s="234"/>
      <c r="HU2" s="234"/>
      <c r="HV2" s="234"/>
      <c r="HW2" s="234"/>
      <c r="HX2" s="234"/>
      <c r="HY2" s="234"/>
      <c r="HZ2" s="234"/>
      <c r="IA2" s="234"/>
      <c r="IB2" s="234"/>
      <c r="IC2" s="234"/>
      <c r="ID2" s="234"/>
      <c r="IE2" s="234"/>
      <c r="IF2" s="234"/>
      <c r="IG2" s="234"/>
      <c r="IH2" s="234"/>
      <c r="II2" s="234"/>
      <c r="IJ2" s="234"/>
      <c r="IK2" s="234"/>
      <c r="IL2" s="234"/>
      <c r="IM2" s="234"/>
      <c r="IN2" s="234"/>
      <c r="IO2" s="234"/>
      <c r="IP2" s="234"/>
      <c r="IQ2" s="234"/>
      <c r="IR2" s="234"/>
      <c r="IS2" s="234"/>
      <c r="IT2" s="234"/>
      <c r="IU2" s="234"/>
      <c r="IV2" s="234"/>
    </row>
    <row r="3" s="147" customFormat="1" spans="1:256">
      <c r="A3" s="241" t="s">
        <v>1314</v>
      </c>
      <c r="B3" s="241" t="s">
        <v>1315</v>
      </c>
      <c r="C3" s="242" t="s">
        <v>1316</v>
      </c>
      <c r="D3" s="242" t="s">
        <v>1317</v>
      </c>
      <c r="E3" s="242" t="s">
        <v>1318</v>
      </c>
      <c r="F3" s="242"/>
      <c r="G3" s="242" t="s">
        <v>1319</v>
      </c>
      <c r="H3" s="242"/>
      <c r="I3" s="242" t="s">
        <v>1320</v>
      </c>
      <c r="J3" s="242"/>
      <c r="K3" s="242" t="s">
        <v>1321</v>
      </c>
      <c r="L3" s="242"/>
      <c r="M3" s="242" t="s">
        <v>1322</v>
      </c>
      <c r="N3" s="242"/>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234"/>
      <c r="AX3" s="234"/>
      <c r="AY3" s="234"/>
      <c r="AZ3" s="234"/>
      <c r="BA3" s="234"/>
      <c r="BB3" s="234"/>
      <c r="BC3" s="234"/>
      <c r="BD3" s="234"/>
      <c r="BE3" s="234"/>
      <c r="BF3" s="234"/>
      <c r="BG3" s="234"/>
      <c r="BH3" s="234"/>
      <c r="BI3" s="234"/>
      <c r="BJ3" s="234"/>
      <c r="BK3" s="234"/>
      <c r="BL3" s="234"/>
      <c r="BM3" s="234"/>
      <c r="BN3" s="234"/>
      <c r="BO3" s="234"/>
      <c r="BP3" s="234"/>
      <c r="BQ3" s="234"/>
      <c r="BR3" s="234"/>
      <c r="BS3" s="234"/>
      <c r="BT3" s="234"/>
      <c r="BU3" s="234"/>
      <c r="BV3" s="234"/>
      <c r="BW3" s="234"/>
      <c r="BX3" s="234"/>
      <c r="BY3" s="234"/>
      <c r="BZ3" s="234"/>
      <c r="CA3" s="234"/>
      <c r="CB3" s="234"/>
      <c r="CC3" s="234"/>
      <c r="CD3" s="234"/>
      <c r="CE3" s="234"/>
      <c r="CF3" s="234"/>
      <c r="CG3" s="234"/>
      <c r="CH3" s="234"/>
      <c r="CI3" s="234"/>
      <c r="CJ3" s="234"/>
      <c r="CK3" s="234"/>
      <c r="CL3" s="234"/>
      <c r="CM3" s="234"/>
      <c r="CN3" s="234"/>
      <c r="CO3" s="234"/>
      <c r="CP3" s="234"/>
      <c r="CQ3" s="234"/>
      <c r="CR3" s="234"/>
      <c r="CS3" s="234"/>
      <c r="CT3" s="234"/>
      <c r="CU3" s="234"/>
      <c r="CV3" s="234"/>
      <c r="CW3" s="234"/>
      <c r="CX3" s="234"/>
      <c r="CY3" s="234"/>
      <c r="CZ3" s="234"/>
      <c r="DA3" s="234"/>
      <c r="DB3" s="234"/>
      <c r="DC3" s="234"/>
      <c r="DD3" s="234"/>
      <c r="DE3" s="234"/>
      <c r="DF3" s="234"/>
      <c r="DG3" s="234"/>
      <c r="DH3" s="234"/>
      <c r="DI3" s="234"/>
      <c r="DJ3" s="234"/>
      <c r="DK3" s="234"/>
      <c r="DL3" s="234"/>
      <c r="DM3" s="234"/>
      <c r="DN3" s="234"/>
      <c r="DO3" s="234"/>
      <c r="DP3" s="234"/>
      <c r="DQ3" s="234"/>
      <c r="DR3" s="234"/>
      <c r="DS3" s="234"/>
      <c r="DT3" s="234"/>
      <c r="DU3" s="234"/>
      <c r="DV3" s="234"/>
      <c r="DW3" s="234"/>
      <c r="DX3" s="234"/>
      <c r="DY3" s="234"/>
      <c r="DZ3" s="234"/>
      <c r="EA3" s="234"/>
      <c r="EB3" s="234"/>
      <c r="EC3" s="234"/>
      <c r="ED3" s="234"/>
      <c r="EE3" s="234"/>
      <c r="EF3" s="234"/>
      <c r="EG3" s="234"/>
      <c r="EH3" s="234"/>
      <c r="EI3" s="234"/>
      <c r="EJ3" s="234"/>
      <c r="EK3" s="234"/>
      <c r="EL3" s="234"/>
      <c r="EM3" s="234"/>
      <c r="EN3" s="234"/>
      <c r="EO3" s="234"/>
      <c r="EP3" s="234"/>
      <c r="EQ3" s="234"/>
      <c r="ER3" s="234"/>
      <c r="ES3" s="234"/>
      <c r="ET3" s="234"/>
      <c r="EU3" s="234"/>
      <c r="EV3" s="234"/>
      <c r="EW3" s="234"/>
      <c r="EX3" s="234"/>
      <c r="EY3" s="234"/>
      <c r="EZ3" s="234"/>
      <c r="FA3" s="234"/>
      <c r="FB3" s="234"/>
      <c r="FC3" s="234"/>
      <c r="FD3" s="234"/>
      <c r="FE3" s="234"/>
      <c r="FF3" s="234"/>
      <c r="FG3" s="234"/>
      <c r="FH3" s="234"/>
      <c r="FI3" s="234"/>
      <c r="FJ3" s="234"/>
      <c r="FK3" s="234"/>
      <c r="FL3" s="234"/>
      <c r="FM3" s="234"/>
      <c r="FN3" s="234"/>
      <c r="FO3" s="234"/>
      <c r="FP3" s="234"/>
      <c r="FQ3" s="234"/>
      <c r="FR3" s="234"/>
      <c r="FS3" s="234"/>
      <c r="FT3" s="234"/>
      <c r="FU3" s="234"/>
      <c r="FV3" s="234"/>
      <c r="FW3" s="234"/>
      <c r="FX3" s="234"/>
      <c r="FY3" s="234"/>
      <c r="FZ3" s="234"/>
      <c r="GA3" s="234"/>
      <c r="GB3" s="234"/>
      <c r="GC3" s="234"/>
      <c r="GD3" s="234"/>
      <c r="GE3" s="234"/>
      <c r="GF3" s="234"/>
      <c r="GG3" s="234"/>
      <c r="GH3" s="234"/>
      <c r="GI3" s="234"/>
      <c r="GJ3" s="234"/>
      <c r="GK3" s="234"/>
      <c r="GL3" s="234"/>
      <c r="GM3" s="234"/>
      <c r="GN3" s="234"/>
      <c r="GO3" s="234"/>
      <c r="GP3" s="234"/>
      <c r="GQ3" s="234"/>
      <c r="GR3" s="234"/>
      <c r="GS3" s="234"/>
      <c r="GT3" s="234"/>
      <c r="GU3" s="234"/>
      <c r="GV3" s="234"/>
      <c r="GW3" s="234"/>
      <c r="GX3" s="234"/>
      <c r="GY3" s="234"/>
      <c r="GZ3" s="234"/>
      <c r="HA3" s="234"/>
      <c r="HB3" s="234"/>
      <c r="HC3" s="234"/>
      <c r="HD3" s="234"/>
      <c r="HE3" s="234"/>
      <c r="HF3" s="234"/>
      <c r="HG3" s="234"/>
      <c r="HH3" s="234"/>
      <c r="HI3" s="234"/>
      <c r="HJ3" s="234"/>
      <c r="HK3" s="234"/>
      <c r="HL3" s="234"/>
      <c r="HM3" s="234"/>
      <c r="HN3" s="234"/>
      <c r="HO3" s="234"/>
      <c r="HP3" s="234"/>
      <c r="HQ3" s="234"/>
      <c r="HR3" s="234"/>
      <c r="HS3" s="234"/>
      <c r="HT3" s="234"/>
      <c r="HU3" s="234"/>
      <c r="HV3" s="234"/>
      <c r="HW3" s="234"/>
      <c r="HX3" s="234"/>
      <c r="HY3" s="234"/>
      <c r="HZ3" s="234"/>
      <c r="IA3" s="234"/>
      <c r="IB3" s="234"/>
      <c r="IC3" s="234"/>
      <c r="ID3" s="234"/>
      <c r="IE3" s="234"/>
      <c r="IF3" s="234"/>
      <c r="IG3" s="234"/>
      <c r="IH3" s="234"/>
      <c r="II3" s="234"/>
      <c r="IJ3" s="234"/>
      <c r="IK3" s="234"/>
      <c r="IL3" s="234"/>
      <c r="IM3" s="234"/>
      <c r="IN3" s="234"/>
      <c r="IO3" s="234"/>
      <c r="IP3" s="234"/>
      <c r="IQ3" s="234"/>
      <c r="IR3" s="234"/>
      <c r="IS3" s="234"/>
      <c r="IT3" s="234"/>
      <c r="IU3" s="234"/>
      <c r="IV3" s="234"/>
    </row>
    <row r="4" s="147" customFormat="1" spans="1:256">
      <c r="A4" s="241"/>
      <c r="B4" s="241"/>
      <c r="C4" s="242"/>
      <c r="D4" s="242"/>
      <c r="E4" s="242" t="s">
        <v>1323</v>
      </c>
      <c r="F4" s="242" t="s">
        <v>1324</v>
      </c>
      <c r="G4" s="242" t="s">
        <v>1323</v>
      </c>
      <c r="H4" s="242" t="s">
        <v>1324</v>
      </c>
      <c r="I4" s="242" t="s">
        <v>1323</v>
      </c>
      <c r="J4" s="242" t="s">
        <v>1324</v>
      </c>
      <c r="K4" s="242" t="s">
        <v>1323</v>
      </c>
      <c r="L4" s="242" t="s">
        <v>1324</v>
      </c>
      <c r="M4" s="242" t="s">
        <v>1323</v>
      </c>
      <c r="N4" s="242" t="s">
        <v>1324</v>
      </c>
      <c r="O4" s="234"/>
      <c r="P4" s="234"/>
      <c r="Q4" s="234"/>
      <c r="R4" s="234"/>
      <c r="S4" s="234"/>
      <c r="T4" s="234"/>
      <c r="U4" s="234"/>
      <c r="V4" s="234"/>
      <c r="W4" s="234"/>
      <c r="X4" s="234"/>
      <c r="Y4" s="234"/>
      <c r="Z4" s="234"/>
      <c r="AA4" s="234"/>
      <c r="AB4" s="234"/>
      <c r="AC4" s="234"/>
      <c r="AD4" s="234"/>
      <c r="AE4" s="234"/>
      <c r="AF4" s="234"/>
      <c r="AG4" s="234"/>
      <c r="AH4" s="234"/>
      <c r="AI4" s="234"/>
      <c r="AJ4" s="234"/>
      <c r="AK4" s="234"/>
      <c r="AL4" s="234"/>
      <c r="AM4" s="234"/>
      <c r="AN4" s="234"/>
      <c r="AO4" s="234"/>
      <c r="AP4" s="234"/>
      <c r="AQ4" s="234"/>
      <c r="AR4" s="234"/>
      <c r="AS4" s="234"/>
      <c r="AT4" s="234"/>
      <c r="AU4" s="234"/>
      <c r="AV4" s="234"/>
      <c r="AW4" s="234"/>
      <c r="AX4" s="234"/>
      <c r="AY4" s="234"/>
      <c r="AZ4" s="234"/>
      <c r="BA4" s="234"/>
      <c r="BB4" s="234"/>
      <c r="BC4" s="234"/>
      <c r="BD4" s="234"/>
      <c r="BE4" s="234"/>
      <c r="BF4" s="234"/>
      <c r="BG4" s="234"/>
      <c r="BH4" s="234"/>
      <c r="BI4" s="234"/>
      <c r="BJ4" s="234"/>
      <c r="BK4" s="234"/>
      <c r="BL4" s="234"/>
      <c r="BM4" s="234"/>
      <c r="BN4" s="234"/>
      <c r="BO4" s="234"/>
      <c r="BP4" s="234"/>
      <c r="BQ4" s="234"/>
      <c r="BR4" s="234"/>
      <c r="BS4" s="234"/>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4"/>
      <c r="CZ4" s="234"/>
      <c r="DA4" s="234"/>
      <c r="DB4" s="234"/>
      <c r="DC4" s="234"/>
      <c r="DD4" s="234"/>
      <c r="DE4" s="234"/>
      <c r="DF4" s="234"/>
      <c r="DG4" s="234"/>
      <c r="DH4" s="234"/>
      <c r="DI4" s="234"/>
      <c r="DJ4" s="234"/>
      <c r="DK4" s="234"/>
      <c r="DL4" s="234"/>
      <c r="DM4" s="234"/>
      <c r="DN4" s="234"/>
      <c r="DO4" s="234"/>
      <c r="DP4" s="234"/>
      <c r="DQ4" s="234"/>
      <c r="DR4" s="234"/>
      <c r="DS4" s="234"/>
      <c r="DT4" s="234"/>
      <c r="DU4" s="234"/>
      <c r="DV4" s="234"/>
      <c r="DW4" s="234"/>
      <c r="DX4" s="234"/>
      <c r="DY4" s="234"/>
      <c r="DZ4" s="234"/>
      <c r="EA4" s="234"/>
      <c r="EB4" s="234"/>
      <c r="EC4" s="234"/>
      <c r="ED4" s="234"/>
      <c r="EE4" s="234"/>
      <c r="EF4" s="234"/>
      <c r="EG4" s="234"/>
      <c r="EH4" s="234"/>
      <c r="EI4" s="234"/>
      <c r="EJ4" s="234"/>
      <c r="EK4" s="234"/>
      <c r="EL4" s="234"/>
      <c r="EM4" s="234"/>
      <c r="EN4" s="234"/>
      <c r="EO4" s="234"/>
      <c r="EP4" s="234"/>
      <c r="EQ4" s="234"/>
      <c r="ER4" s="234"/>
      <c r="ES4" s="234"/>
      <c r="ET4" s="234"/>
      <c r="EU4" s="234"/>
      <c r="EV4" s="234"/>
      <c r="EW4" s="234"/>
      <c r="EX4" s="234"/>
      <c r="EY4" s="234"/>
      <c r="EZ4" s="234"/>
      <c r="FA4" s="234"/>
      <c r="FB4" s="234"/>
      <c r="FC4" s="234"/>
      <c r="FD4" s="234"/>
      <c r="FE4" s="234"/>
      <c r="FF4" s="234"/>
      <c r="FG4" s="234"/>
      <c r="FH4" s="234"/>
      <c r="FI4" s="234"/>
      <c r="FJ4" s="234"/>
      <c r="FK4" s="234"/>
      <c r="FL4" s="234"/>
      <c r="FM4" s="234"/>
      <c r="FN4" s="234"/>
      <c r="FO4" s="234"/>
      <c r="FP4" s="234"/>
      <c r="FQ4" s="234"/>
      <c r="FR4" s="234"/>
      <c r="FS4" s="234"/>
      <c r="FT4" s="234"/>
      <c r="FU4" s="234"/>
      <c r="FV4" s="234"/>
      <c r="FW4" s="234"/>
      <c r="FX4" s="234"/>
      <c r="FY4" s="234"/>
      <c r="FZ4" s="234"/>
      <c r="GA4" s="234"/>
      <c r="GB4" s="234"/>
      <c r="GC4" s="234"/>
      <c r="GD4" s="234"/>
      <c r="GE4" s="234"/>
      <c r="GF4" s="234"/>
      <c r="GG4" s="234"/>
      <c r="GH4" s="234"/>
      <c r="GI4" s="234"/>
      <c r="GJ4" s="234"/>
      <c r="GK4" s="234"/>
      <c r="GL4" s="234"/>
      <c r="GM4" s="234"/>
      <c r="GN4" s="234"/>
      <c r="GO4" s="234"/>
      <c r="GP4" s="234"/>
      <c r="GQ4" s="234"/>
      <c r="GR4" s="234"/>
      <c r="GS4" s="234"/>
      <c r="GT4" s="234"/>
      <c r="GU4" s="234"/>
      <c r="GV4" s="234"/>
      <c r="GW4" s="234"/>
      <c r="GX4" s="234"/>
      <c r="GY4" s="234"/>
      <c r="GZ4" s="234"/>
      <c r="HA4" s="234"/>
      <c r="HB4" s="234"/>
      <c r="HC4" s="234"/>
      <c r="HD4" s="234"/>
      <c r="HE4" s="234"/>
      <c r="HF4" s="234"/>
      <c r="HG4" s="234"/>
      <c r="HH4" s="234"/>
      <c r="HI4" s="234"/>
      <c r="HJ4" s="234"/>
      <c r="HK4" s="234"/>
      <c r="HL4" s="234"/>
      <c r="HM4" s="234"/>
      <c r="HN4" s="234"/>
      <c r="HO4" s="234"/>
      <c r="HP4" s="234"/>
      <c r="HQ4" s="234"/>
      <c r="HR4" s="234"/>
      <c r="HS4" s="234"/>
      <c r="HT4" s="234"/>
      <c r="HU4" s="234"/>
      <c r="HV4" s="234"/>
      <c r="HW4" s="234"/>
      <c r="HX4" s="234"/>
      <c r="HY4" s="234"/>
      <c r="HZ4" s="234"/>
      <c r="IA4" s="234"/>
      <c r="IB4" s="234"/>
      <c r="IC4" s="234"/>
      <c r="ID4" s="234"/>
      <c r="IE4" s="234"/>
      <c r="IF4" s="234"/>
      <c r="IG4" s="234"/>
      <c r="IH4" s="234"/>
      <c r="II4" s="234"/>
      <c r="IJ4" s="234"/>
      <c r="IK4" s="234"/>
      <c r="IL4" s="234"/>
      <c r="IM4" s="234"/>
      <c r="IN4" s="234"/>
      <c r="IO4" s="234"/>
      <c r="IP4" s="234"/>
      <c r="IQ4" s="234"/>
      <c r="IR4" s="234"/>
      <c r="IS4" s="234"/>
      <c r="IT4" s="234"/>
      <c r="IU4" s="234"/>
      <c r="IV4" s="234"/>
    </row>
    <row r="5" s="147" customFormat="1" spans="1:256">
      <c r="A5" s="241" t="s">
        <v>1325</v>
      </c>
      <c r="B5" s="241" t="s">
        <v>1326</v>
      </c>
      <c r="C5" s="243">
        <v>0.2</v>
      </c>
      <c r="D5" s="243">
        <v>4</v>
      </c>
      <c r="E5" s="243">
        <v>4.5</v>
      </c>
      <c r="F5" s="244">
        <f t="shared" ref="F5:F10" si="0">C5*D5*E5</f>
        <v>3.6</v>
      </c>
      <c r="G5" s="243">
        <v>3.9</v>
      </c>
      <c r="H5" s="244">
        <f t="shared" ref="H5:H10" si="1">C5*D5*G5</f>
        <v>3.12</v>
      </c>
      <c r="I5" s="243">
        <v>3.71</v>
      </c>
      <c r="J5" s="244">
        <f t="shared" ref="J5:J10" si="2">C5*D5*I5</f>
        <v>2.968</v>
      </c>
      <c r="K5" s="243">
        <v>3.6</v>
      </c>
      <c r="L5" s="244">
        <f t="shared" ref="L5:L10" si="3">C5*D5*K5</f>
        <v>2.88</v>
      </c>
      <c r="M5" s="243">
        <v>4.25</v>
      </c>
      <c r="N5" s="244">
        <f t="shared" ref="N5:N10" si="4">C5*D5*M5</f>
        <v>3.4</v>
      </c>
      <c r="O5" s="234"/>
      <c r="P5" s="234"/>
      <c r="Q5" s="234"/>
      <c r="R5" s="234"/>
      <c r="S5" s="234"/>
      <c r="T5" s="234"/>
      <c r="U5" s="234"/>
      <c r="V5" s="234"/>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c r="BO5" s="234"/>
      <c r="BP5" s="234"/>
      <c r="BQ5" s="234"/>
      <c r="BR5" s="234"/>
      <c r="BS5" s="234"/>
      <c r="BT5" s="234"/>
      <c r="BU5" s="234"/>
      <c r="BV5" s="234"/>
      <c r="BW5" s="234"/>
      <c r="BX5" s="234"/>
      <c r="BY5" s="234"/>
      <c r="BZ5" s="234"/>
      <c r="CA5" s="234"/>
      <c r="CB5" s="234"/>
      <c r="CC5" s="234"/>
      <c r="CD5" s="234"/>
      <c r="CE5" s="234"/>
      <c r="CF5" s="234"/>
      <c r="CG5" s="234"/>
      <c r="CH5" s="234"/>
      <c r="CI5" s="234"/>
      <c r="CJ5" s="234"/>
      <c r="CK5" s="234"/>
      <c r="CL5" s="234"/>
      <c r="CM5" s="234"/>
      <c r="CN5" s="234"/>
      <c r="CO5" s="234"/>
      <c r="CP5" s="234"/>
      <c r="CQ5" s="234"/>
      <c r="CR5" s="234"/>
      <c r="CS5" s="234"/>
      <c r="CT5" s="234"/>
      <c r="CU5" s="234"/>
      <c r="CV5" s="234"/>
      <c r="CW5" s="234"/>
      <c r="CX5" s="234"/>
      <c r="CY5" s="234"/>
      <c r="CZ5" s="234"/>
      <c r="DA5" s="234"/>
      <c r="DB5" s="234"/>
      <c r="DC5" s="234"/>
      <c r="DD5" s="234"/>
      <c r="DE5" s="234"/>
      <c r="DF5" s="234"/>
      <c r="DG5" s="234"/>
      <c r="DH5" s="234"/>
      <c r="DI5" s="234"/>
      <c r="DJ5" s="234"/>
      <c r="DK5" s="234"/>
      <c r="DL5" s="234"/>
      <c r="DM5" s="234"/>
      <c r="DN5" s="234"/>
      <c r="DO5" s="234"/>
      <c r="DP5" s="234"/>
      <c r="DQ5" s="234"/>
      <c r="DR5" s="234"/>
      <c r="DS5" s="234"/>
      <c r="DT5" s="234"/>
      <c r="DU5" s="234"/>
      <c r="DV5" s="234"/>
      <c r="DW5" s="234"/>
      <c r="DX5" s="234"/>
      <c r="DY5" s="234"/>
      <c r="DZ5" s="234"/>
      <c r="EA5" s="234"/>
      <c r="EB5" s="234"/>
      <c r="EC5" s="234"/>
      <c r="ED5" s="234"/>
      <c r="EE5" s="234"/>
      <c r="EF5" s="234"/>
      <c r="EG5" s="234"/>
      <c r="EH5" s="234"/>
      <c r="EI5" s="234"/>
      <c r="EJ5" s="234"/>
      <c r="EK5" s="234"/>
      <c r="EL5" s="234"/>
      <c r="EM5" s="234"/>
      <c r="EN5" s="234"/>
      <c r="EO5" s="234"/>
      <c r="EP5" s="234"/>
      <c r="EQ5" s="234"/>
      <c r="ER5" s="234"/>
      <c r="ES5" s="234"/>
      <c r="ET5" s="234"/>
      <c r="EU5" s="234"/>
      <c r="EV5" s="234"/>
      <c r="EW5" s="234"/>
      <c r="EX5" s="234"/>
      <c r="EY5" s="234"/>
      <c r="EZ5" s="234"/>
      <c r="FA5" s="234"/>
      <c r="FB5" s="234"/>
      <c r="FC5" s="234"/>
      <c r="FD5" s="234"/>
      <c r="FE5" s="234"/>
      <c r="FF5" s="234"/>
      <c r="FG5" s="234"/>
      <c r="FH5" s="234"/>
      <c r="FI5" s="234"/>
      <c r="FJ5" s="234"/>
      <c r="FK5" s="234"/>
      <c r="FL5" s="234"/>
      <c r="FM5" s="234"/>
      <c r="FN5" s="234"/>
      <c r="FO5" s="234"/>
      <c r="FP5" s="234"/>
      <c r="FQ5" s="234"/>
      <c r="FR5" s="234"/>
      <c r="FS5" s="234"/>
      <c r="FT5" s="234"/>
      <c r="FU5" s="234"/>
      <c r="FV5" s="234"/>
      <c r="FW5" s="234"/>
      <c r="FX5" s="234"/>
      <c r="FY5" s="234"/>
      <c r="FZ5" s="234"/>
      <c r="GA5" s="234"/>
      <c r="GB5" s="234"/>
      <c r="GC5" s="234"/>
      <c r="GD5" s="234"/>
      <c r="GE5" s="234"/>
      <c r="GF5" s="234"/>
      <c r="GG5" s="234"/>
      <c r="GH5" s="234"/>
      <c r="GI5" s="234"/>
      <c r="GJ5" s="234"/>
      <c r="GK5" s="234"/>
      <c r="GL5" s="234"/>
      <c r="GM5" s="234"/>
      <c r="GN5" s="234"/>
      <c r="GO5" s="234"/>
      <c r="GP5" s="234"/>
      <c r="GQ5" s="234"/>
      <c r="GR5" s="234"/>
      <c r="GS5" s="234"/>
      <c r="GT5" s="234"/>
      <c r="GU5" s="234"/>
      <c r="GV5" s="234"/>
      <c r="GW5" s="234"/>
      <c r="GX5" s="234"/>
      <c r="GY5" s="234"/>
      <c r="GZ5" s="234"/>
      <c r="HA5" s="234"/>
      <c r="HB5" s="234"/>
      <c r="HC5" s="234"/>
      <c r="HD5" s="234"/>
      <c r="HE5" s="234"/>
      <c r="HF5" s="234"/>
      <c r="HG5" s="234"/>
      <c r="HH5" s="234"/>
      <c r="HI5" s="234"/>
      <c r="HJ5" s="234"/>
      <c r="HK5" s="234"/>
      <c r="HL5" s="234"/>
      <c r="HM5" s="234"/>
      <c r="HN5" s="234"/>
      <c r="HO5" s="234"/>
      <c r="HP5" s="234"/>
      <c r="HQ5" s="234"/>
      <c r="HR5" s="234"/>
      <c r="HS5" s="234"/>
      <c r="HT5" s="234"/>
      <c r="HU5" s="234"/>
      <c r="HV5" s="234"/>
      <c r="HW5" s="234"/>
      <c r="HX5" s="234"/>
      <c r="HY5" s="234"/>
      <c r="HZ5" s="234"/>
      <c r="IA5" s="234"/>
      <c r="IB5" s="234"/>
      <c r="IC5" s="234"/>
      <c r="ID5" s="234"/>
      <c r="IE5" s="234"/>
      <c r="IF5" s="234"/>
      <c r="IG5" s="234"/>
      <c r="IH5" s="234"/>
      <c r="II5" s="234"/>
      <c r="IJ5" s="234"/>
      <c r="IK5" s="234"/>
      <c r="IL5" s="234"/>
      <c r="IM5" s="234"/>
      <c r="IN5" s="234"/>
      <c r="IO5" s="234"/>
      <c r="IP5" s="234"/>
      <c r="IQ5" s="234"/>
      <c r="IR5" s="234"/>
      <c r="IS5" s="234"/>
      <c r="IT5" s="234"/>
      <c r="IU5" s="234"/>
      <c r="IV5" s="234"/>
    </row>
    <row r="6" s="147" customFormat="1" spans="1:256">
      <c r="A6" s="241"/>
      <c r="B6" s="241" t="s">
        <v>1327</v>
      </c>
      <c r="C6" s="243">
        <v>0.18</v>
      </c>
      <c r="D6" s="243">
        <v>3</v>
      </c>
      <c r="E6" s="243">
        <v>3.5</v>
      </c>
      <c r="F6" s="244">
        <f t="shared" si="0"/>
        <v>1.89</v>
      </c>
      <c r="G6" s="243">
        <v>3.85</v>
      </c>
      <c r="H6" s="244">
        <f t="shared" si="1"/>
        <v>2.079</v>
      </c>
      <c r="I6" s="243">
        <v>3.67</v>
      </c>
      <c r="J6" s="244">
        <f t="shared" si="2"/>
        <v>1.9818</v>
      </c>
      <c r="K6" s="243">
        <v>4.03</v>
      </c>
      <c r="L6" s="244">
        <f t="shared" si="3"/>
        <v>2.1762</v>
      </c>
      <c r="M6" s="243">
        <v>3.3</v>
      </c>
      <c r="N6" s="244">
        <f t="shared" si="4"/>
        <v>1.782</v>
      </c>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34"/>
      <c r="BK6" s="234"/>
      <c r="BL6" s="234"/>
      <c r="BM6" s="234"/>
      <c r="BN6" s="234"/>
      <c r="BO6" s="234"/>
      <c r="BP6" s="234"/>
      <c r="BQ6" s="234"/>
      <c r="BR6" s="234"/>
      <c r="BS6" s="234"/>
      <c r="BT6" s="234"/>
      <c r="BU6" s="234"/>
      <c r="BV6" s="234"/>
      <c r="BW6" s="234"/>
      <c r="BX6" s="234"/>
      <c r="BY6" s="234"/>
      <c r="BZ6" s="234"/>
      <c r="CA6" s="234"/>
      <c r="CB6" s="234"/>
      <c r="CC6" s="234"/>
      <c r="CD6" s="234"/>
      <c r="CE6" s="234"/>
      <c r="CF6" s="234"/>
      <c r="CG6" s="234"/>
      <c r="CH6" s="234"/>
      <c r="CI6" s="234"/>
      <c r="CJ6" s="234"/>
      <c r="CK6" s="234"/>
      <c r="CL6" s="234"/>
      <c r="CM6" s="234"/>
      <c r="CN6" s="234"/>
      <c r="CO6" s="234"/>
      <c r="CP6" s="234"/>
      <c r="CQ6" s="234"/>
      <c r="CR6" s="234"/>
      <c r="CS6" s="234"/>
      <c r="CT6" s="234"/>
      <c r="CU6" s="234"/>
      <c r="CV6" s="234"/>
      <c r="CW6" s="234"/>
      <c r="CX6" s="234"/>
      <c r="CY6" s="234"/>
      <c r="CZ6" s="234"/>
      <c r="DA6" s="234"/>
      <c r="DB6" s="234"/>
      <c r="DC6" s="234"/>
      <c r="DD6" s="234"/>
      <c r="DE6" s="234"/>
      <c r="DF6" s="234"/>
      <c r="DG6" s="234"/>
      <c r="DH6" s="234"/>
      <c r="DI6" s="234"/>
      <c r="DJ6" s="234"/>
      <c r="DK6" s="234"/>
      <c r="DL6" s="234"/>
      <c r="DM6" s="234"/>
      <c r="DN6" s="234"/>
      <c r="DO6" s="234"/>
      <c r="DP6" s="234"/>
      <c r="DQ6" s="234"/>
      <c r="DR6" s="234"/>
      <c r="DS6" s="234"/>
      <c r="DT6" s="234"/>
      <c r="DU6" s="234"/>
      <c r="DV6" s="234"/>
      <c r="DW6" s="234"/>
      <c r="DX6" s="234"/>
      <c r="DY6" s="234"/>
      <c r="DZ6" s="234"/>
      <c r="EA6" s="234"/>
      <c r="EB6" s="234"/>
      <c r="EC6" s="234"/>
      <c r="ED6" s="234"/>
      <c r="EE6" s="234"/>
      <c r="EF6" s="234"/>
      <c r="EG6" s="234"/>
      <c r="EH6" s="234"/>
      <c r="EI6" s="234"/>
      <c r="EJ6" s="234"/>
      <c r="EK6" s="234"/>
      <c r="EL6" s="234"/>
      <c r="EM6" s="234"/>
      <c r="EN6" s="234"/>
      <c r="EO6" s="234"/>
      <c r="EP6" s="234"/>
      <c r="EQ6" s="234"/>
      <c r="ER6" s="234"/>
      <c r="ES6" s="234"/>
      <c r="ET6" s="234"/>
      <c r="EU6" s="234"/>
      <c r="EV6" s="234"/>
      <c r="EW6" s="234"/>
      <c r="EX6" s="234"/>
      <c r="EY6" s="234"/>
      <c r="EZ6" s="234"/>
      <c r="FA6" s="234"/>
      <c r="FB6" s="234"/>
      <c r="FC6" s="234"/>
      <c r="FD6" s="234"/>
      <c r="FE6" s="234"/>
      <c r="FF6" s="234"/>
      <c r="FG6" s="234"/>
      <c r="FH6" s="234"/>
      <c r="FI6" s="234"/>
      <c r="FJ6" s="234"/>
      <c r="FK6" s="234"/>
      <c r="FL6" s="234"/>
      <c r="FM6" s="234"/>
      <c r="FN6" s="234"/>
      <c r="FO6" s="234"/>
      <c r="FP6" s="234"/>
      <c r="FQ6" s="234"/>
      <c r="FR6" s="234"/>
      <c r="FS6" s="234"/>
      <c r="FT6" s="234"/>
      <c r="FU6" s="234"/>
      <c r="FV6" s="234"/>
      <c r="FW6" s="234"/>
      <c r="FX6" s="234"/>
      <c r="FY6" s="234"/>
      <c r="FZ6" s="234"/>
      <c r="GA6" s="234"/>
      <c r="GB6" s="234"/>
      <c r="GC6" s="234"/>
      <c r="GD6" s="234"/>
      <c r="GE6" s="234"/>
      <c r="GF6" s="234"/>
      <c r="GG6" s="234"/>
      <c r="GH6" s="234"/>
      <c r="GI6" s="234"/>
      <c r="GJ6" s="234"/>
      <c r="GK6" s="234"/>
      <c r="GL6" s="234"/>
      <c r="GM6" s="234"/>
      <c r="GN6" s="234"/>
      <c r="GO6" s="234"/>
      <c r="GP6" s="234"/>
      <c r="GQ6" s="234"/>
      <c r="GR6" s="234"/>
      <c r="GS6" s="234"/>
      <c r="GT6" s="234"/>
      <c r="GU6" s="234"/>
      <c r="GV6" s="234"/>
      <c r="GW6" s="234"/>
      <c r="GX6" s="234"/>
      <c r="GY6" s="234"/>
      <c r="GZ6" s="234"/>
      <c r="HA6" s="234"/>
      <c r="HB6" s="234"/>
      <c r="HC6" s="234"/>
      <c r="HD6" s="234"/>
      <c r="HE6" s="234"/>
      <c r="HF6" s="234"/>
      <c r="HG6" s="234"/>
      <c r="HH6" s="234"/>
      <c r="HI6" s="234"/>
      <c r="HJ6" s="234"/>
      <c r="HK6" s="234"/>
      <c r="HL6" s="234"/>
      <c r="HM6" s="234"/>
      <c r="HN6" s="234"/>
      <c r="HO6" s="234"/>
      <c r="HP6" s="234"/>
      <c r="HQ6" s="234"/>
      <c r="HR6" s="234"/>
      <c r="HS6" s="234"/>
      <c r="HT6" s="234"/>
      <c r="HU6" s="234"/>
      <c r="HV6" s="234"/>
      <c r="HW6" s="234"/>
      <c r="HX6" s="234"/>
      <c r="HY6" s="234"/>
      <c r="HZ6" s="234"/>
      <c r="IA6" s="234"/>
      <c r="IB6" s="234"/>
      <c r="IC6" s="234"/>
      <c r="ID6" s="234"/>
      <c r="IE6" s="234"/>
      <c r="IF6" s="234"/>
      <c r="IG6" s="234"/>
      <c r="IH6" s="234"/>
      <c r="II6" s="234"/>
      <c r="IJ6" s="234"/>
      <c r="IK6" s="234"/>
      <c r="IL6" s="234"/>
      <c r="IM6" s="234"/>
      <c r="IN6" s="234"/>
      <c r="IO6" s="234"/>
      <c r="IP6" s="234"/>
      <c r="IQ6" s="234"/>
      <c r="IR6" s="234"/>
      <c r="IS6" s="234"/>
      <c r="IT6" s="234"/>
      <c r="IU6" s="234"/>
      <c r="IV6" s="234"/>
    </row>
    <row r="7" s="147" customFormat="1" spans="1:256">
      <c r="A7" s="241"/>
      <c r="B7" s="241" t="s">
        <v>1328</v>
      </c>
      <c r="C7" s="243">
        <v>0.15</v>
      </c>
      <c r="D7" s="243">
        <v>4</v>
      </c>
      <c r="E7" s="243">
        <v>2.8</v>
      </c>
      <c r="F7" s="244">
        <f t="shared" si="0"/>
        <v>1.68</v>
      </c>
      <c r="G7" s="243">
        <v>3.08</v>
      </c>
      <c r="H7" s="244">
        <f t="shared" si="1"/>
        <v>1.848</v>
      </c>
      <c r="I7" s="243">
        <v>2.93</v>
      </c>
      <c r="J7" s="244">
        <f t="shared" si="2"/>
        <v>1.758</v>
      </c>
      <c r="K7" s="243">
        <v>3.22</v>
      </c>
      <c r="L7" s="244">
        <f t="shared" si="3"/>
        <v>1.932</v>
      </c>
      <c r="M7" s="243">
        <v>2.64</v>
      </c>
      <c r="N7" s="244">
        <f t="shared" si="4"/>
        <v>1.584</v>
      </c>
      <c r="O7" s="234"/>
      <c r="P7" s="234"/>
      <c r="Q7" s="234"/>
      <c r="R7" s="234"/>
      <c r="S7" s="234"/>
      <c r="T7" s="234"/>
      <c r="U7" s="234"/>
      <c r="V7" s="234"/>
      <c r="W7" s="234"/>
      <c r="X7" s="234"/>
      <c r="Y7" s="234"/>
      <c r="Z7" s="234"/>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34"/>
      <c r="BL7" s="234"/>
      <c r="BM7" s="234"/>
      <c r="BN7" s="234"/>
      <c r="BO7" s="234"/>
      <c r="BP7" s="234"/>
      <c r="BQ7" s="234"/>
      <c r="BR7" s="234"/>
      <c r="BS7" s="234"/>
      <c r="BT7" s="234"/>
      <c r="BU7" s="234"/>
      <c r="BV7" s="234"/>
      <c r="BW7" s="234"/>
      <c r="BX7" s="234"/>
      <c r="BY7" s="234"/>
      <c r="BZ7" s="234"/>
      <c r="CA7" s="234"/>
      <c r="CB7" s="234"/>
      <c r="CC7" s="234"/>
      <c r="CD7" s="234"/>
      <c r="CE7" s="234"/>
      <c r="CF7" s="234"/>
      <c r="CG7" s="234"/>
      <c r="CH7" s="234"/>
      <c r="CI7" s="234"/>
      <c r="CJ7" s="234"/>
      <c r="CK7" s="234"/>
      <c r="CL7" s="234"/>
      <c r="CM7" s="234"/>
      <c r="CN7" s="234"/>
      <c r="CO7" s="234"/>
      <c r="CP7" s="234"/>
      <c r="CQ7" s="234"/>
      <c r="CR7" s="234"/>
      <c r="CS7" s="234"/>
      <c r="CT7" s="234"/>
      <c r="CU7" s="234"/>
      <c r="CV7" s="234"/>
      <c r="CW7" s="234"/>
      <c r="CX7" s="234"/>
      <c r="CY7" s="234"/>
      <c r="CZ7" s="234"/>
      <c r="DA7" s="234"/>
      <c r="DB7" s="234"/>
      <c r="DC7" s="234"/>
      <c r="DD7" s="234"/>
      <c r="DE7" s="234"/>
      <c r="DF7" s="234"/>
      <c r="DG7" s="234"/>
      <c r="DH7" s="234"/>
      <c r="DI7" s="234"/>
      <c r="DJ7" s="234"/>
      <c r="DK7" s="234"/>
      <c r="DL7" s="234"/>
      <c r="DM7" s="234"/>
      <c r="DN7" s="234"/>
      <c r="DO7" s="234"/>
      <c r="DP7" s="234"/>
      <c r="DQ7" s="234"/>
      <c r="DR7" s="234"/>
      <c r="DS7" s="234"/>
      <c r="DT7" s="234"/>
      <c r="DU7" s="234"/>
      <c r="DV7" s="234"/>
      <c r="DW7" s="234"/>
      <c r="DX7" s="234"/>
      <c r="DY7" s="234"/>
      <c r="DZ7" s="234"/>
      <c r="EA7" s="234"/>
      <c r="EB7" s="234"/>
      <c r="EC7" s="234"/>
      <c r="ED7" s="234"/>
      <c r="EE7" s="234"/>
      <c r="EF7" s="234"/>
      <c r="EG7" s="234"/>
      <c r="EH7" s="234"/>
      <c r="EI7" s="234"/>
      <c r="EJ7" s="234"/>
      <c r="EK7" s="234"/>
      <c r="EL7" s="234"/>
      <c r="EM7" s="234"/>
      <c r="EN7" s="234"/>
      <c r="EO7" s="234"/>
      <c r="EP7" s="234"/>
      <c r="EQ7" s="234"/>
      <c r="ER7" s="234"/>
      <c r="ES7" s="234"/>
      <c r="ET7" s="234"/>
      <c r="EU7" s="234"/>
      <c r="EV7" s="234"/>
      <c r="EW7" s="234"/>
      <c r="EX7" s="234"/>
      <c r="EY7" s="234"/>
      <c r="EZ7" s="234"/>
      <c r="FA7" s="234"/>
      <c r="FB7" s="234"/>
      <c r="FC7" s="234"/>
      <c r="FD7" s="234"/>
      <c r="FE7" s="234"/>
      <c r="FF7" s="234"/>
      <c r="FG7" s="234"/>
      <c r="FH7" s="234"/>
      <c r="FI7" s="234"/>
      <c r="FJ7" s="234"/>
      <c r="FK7" s="234"/>
      <c r="FL7" s="234"/>
      <c r="FM7" s="234"/>
      <c r="FN7" s="234"/>
      <c r="FO7" s="234"/>
      <c r="FP7" s="234"/>
      <c r="FQ7" s="234"/>
      <c r="FR7" s="234"/>
      <c r="FS7" s="234"/>
      <c r="FT7" s="234"/>
      <c r="FU7" s="234"/>
      <c r="FV7" s="234"/>
      <c r="FW7" s="234"/>
      <c r="FX7" s="234"/>
      <c r="FY7" s="234"/>
      <c r="FZ7" s="234"/>
      <c r="GA7" s="234"/>
      <c r="GB7" s="234"/>
      <c r="GC7" s="234"/>
      <c r="GD7" s="234"/>
      <c r="GE7" s="234"/>
      <c r="GF7" s="234"/>
      <c r="GG7" s="234"/>
      <c r="GH7" s="234"/>
      <c r="GI7" s="234"/>
      <c r="GJ7" s="234"/>
      <c r="GK7" s="234"/>
      <c r="GL7" s="234"/>
      <c r="GM7" s="234"/>
      <c r="GN7" s="234"/>
      <c r="GO7" s="234"/>
      <c r="GP7" s="234"/>
      <c r="GQ7" s="234"/>
      <c r="GR7" s="234"/>
      <c r="GS7" s="234"/>
      <c r="GT7" s="234"/>
      <c r="GU7" s="234"/>
      <c r="GV7" s="234"/>
      <c r="GW7" s="234"/>
      <c r="GX7" s="234"/>
      <c r="GY7" s="234"/>
      <c r="GZ7" s="234"/>
      <c r="HA7" s="234"/>
      <c r="HB7" s="234"/>
      <c r="HC7" s="234"/>
      <c r="HD7" s="234"/>
      <c r="HE7" s="234"/>
      <c r="HF7" s="234"/>
      <c r="HG7" s="234"/>
      <c r="HH7" s="234"/>
      <c r="HI7" s="234"/>
      <c r="HJ7" s="234"/>
      <c r="HK7" s="234"/>
      <c r="HL7" s="234"/>
      <c r="HM7" s="234"/>
      <c r="HN7" s="234"/>
      <c r="HO7" s="234"/>
      <c r="HP7" s="234"/>
      <c r="HQ7" s="234"/>
      <c r="HR7" s="234"/>
      <c r="HS7" s="234"/>
      <c r="HT7" s="234"/>
      <c r="HU7" s="234"/>
      <c r="HV7" s="234"/>
      <c r="HW7" s="234"/>
      <c r="HX7" s="234"/>
      <c r="HY7" s="234"/>
      <c r="HZ7" s="234"/>
      <c r="IA7" s="234"/>
      <c r="IB7" s="234"/>
      <c r="IC7" s="234"/>
      <c r="ID7" s="234"/>
      <c r="IE7" s="234"/>
      <c r="IF7" s="234"/>
      <c r="IG7" s="234"/>
      <c r="IH7" s="234"/>
      <c r="II7" s="234"/>
      <c r="IJ7" s="234"/>
      <c r="IK7" s="234"/>
      <c r="IL7" s="234"/>
      <c r="IM7" s="234"/>
      <c r="IN7" s="234"/>
      <c r="IO7" s="234"/>
      <c r="IP7" s="234"/>
      <c r="IQ7" s="234"/>
      <c r="IR7" s="234"/>
      <c r="IS7" s="234"/>
      <c r="IT7" s="234"/>
      <c r="IU7" s="234"/>
      <c r="IV7" s="234"/>
    </row>
    <row r="8" s="147" customFormat="1" spans="1:256">
      <c r="A8" s="241"/>
      <c r="B8" s="241" t="s">
        <v>1329</v>
      </c>
      <c r="C8" s="243">
        <v>0.08</v>
      </c>
      <c r="D8" s="243">
        <v>2.5</v>
      </c>
      <c r="E8" s="243">
        <v>4.9</v>
      </c>
      <c r="F8" s="244">
        <f t="shared" si="0"/>
        <v>0.98</v>
      </c>
      <c r="G8" s="243">
        <v>4.5</v>
      </c>
      <c r="H8" s="244">
        <f t="shared" si="1"/>
        <v>0.9</v>
      </c>
      <c r="I8" s="243">
        <v>4.1</v>
      </c>
      <c r="J8" s="244">
        <f t="shared" si="2"/>
        <v>0.82</v>
      </c>
      <c r="K8" s="243">
        <v>3.75</v>
      </c>
      <c r="L8" s="244">
        <f t="shared" si="3"/>
        <v>0.75</v>
      </c>
      <c r="M8" s="243">
        <v>4.62</v>
      </c>
      <c r="N8" s="244">
        <f t="shared" si="4"/>
        <v>0.924</v>
      </c>
      <c r="O8" s="234"/>
      <c r="P8" s="234"/>
      <c r="Q8" s="234"/>
      <c r="R8" s="234"/>
      <c r="S8" s="234"/>
      <c r="T8" s="234"/>
      <c r="U8" s="234"/>
      <c r="V8" s="234"/>
      <c r="W8" s="234"/>
      <c r="X8" s="234"/>
      <c r="Y8" s="234"/>
      <c r="Z8" s="234"/>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34"/>
      <c r="BL8" s="234"/>
      <c r="BM8" s="234"/>
      <c r="BN8" s="234"/>
      <c r="BO8" s="234"/>
      <c r="BP8" s="234"/>
      <c r="BQ8" s="234"/>
      <c r="BR8" s="234"/>
      <c r="BS8" s="234"/>
      <c r="BT8" s="234"/>
      <c r="BU8" s="234"/>
      <c r="BV8" s="234"/>
      <c r="BW8" s="234"/>
      <c r="BX8" s="234"/>
      <c r="BY8" s="234"/>
      <c r="BZ8" s="234"/>
      <c r="CA8" s="234"/>
      <c r="CB8" s="234"/>
      <c r="CC8" s="234"/>
      <c r="CD8" s="234"/>
      <c r="CE8" s="234"/>
      <c r="CF8" s="234"/>
      <c r="CG8" s="234"/>
      <c r="CH8" s="234"/>
      <c r="CI8" s="234"/>
      <c r="CJ8" s="234"/>
      <c r="CK8" s="234"/>
      <c r="CL8" s="234"/>
      <c r="CM8" s="234"/>
      <c r="CN8" s="234"/>
      <c r="CO8" s="234"/>
      <c r="CP8" s="234"/>
      <c r="CQ8" s="234"/>
      <c r="CR8" s="234"/>
      <c r="CS8" s="234"/>
      <c r="CT8" s="234"/>
      <c r="CU8" s="234"/>
      <c r="CV8" s="234"/>
      <c r="CW8" s="234"/>
      <c r="CX8" s="234"/>
      <c r="CY8" s="234"/>
      <c r="CZ8" s="234"/>
      <c r="DA8" s="234"/>
      <c r="DB8" s="234"/>
      <c r="DC8" s="234"/>
      <c r="DD8" s="234"/>
      <c r="DE8" s="234"/>
      <c r="DF8" s="234"/>
      <c r="DG8" s="234"/>
      <c r="DH8" s="234"/>
      <c r="DI8" s="234"/>
      <c r="DJ8" s="234"/>
      <c r="DK8" s="234"/>
      <c r="DL8" s="234"/>
      <c r="DM8" s="234"/>
      <c r="DN8" s="234"/>
      <c r="DO8" s="234"/>
      <c r="DP8" s="234"/>
      <c r="DQ8" s="234"/>
      <c r="DR8" s="234"/>
      <c r="DS8" s="234"/>
      <c r="DT8" s="234"/>
      <c r="DU8" s="234"/>
      <c r="DV8" s="234"/>
      <c r="DW8" s="234"/>
      <c r="DX8" s="234"/>
      <c r="DY8" s="234"/>
      <c r="DZ8" s="234"/>
      <c r="EA8" s="234"/>
      <c r="EB8" s="234"/>
      <c r="EC8" s="234"/>
      <c r="ED8" s="234"/>
      <c r="EE8" s="234"/>
      <c r="EF8" s="234"/>
      <c r="EG8" s="234"/>
      <c r="EH8" s="234"/>
      <c r="EI8" s="234"/>
      <c r="EJ8" s="234"/>
      <c r="EK8" s="234"/>
      <c r="EL8" s="234"/>
      <c r="EM8" s="234"/>
      <c r="EN8" s="234"/>
      <c r="EO8" s="234"/>
      <c r="EP8" s="234"/>
      <c r="EQ8" s="234"/>
      <c r="ER8" s="234"/>
      <c r="ES8" s="234"/>
      <c r="ET8" s="234"/>
      <c r="EU8" s="234"/>
      <c r="EV8" s="234"/>
      <c r="EW8" s="234"/>
      <c r="EX8" s="234"/>
      <c r="EY8" s="234"/>
      <c r="EZ8" s="234"/>
      <c r="FA8" s="234"/>
      <c r="FB8" s="234"/>
      <c r="FC8" s="234"/>
      <c r="FD8" s="234"/>
      <c r="FE8" s="234"/>
      <c r="FF8" s="234"/>
      <c r="FG8" s="234"/>
      <c r="FH8" s="234"/>
      <c r="FI8" s="234"/>
      <c r="FJ8" s="234"/>
      <c r="FK8" s="234"/>
      <c r="FL8" s="234"/>
      <c r="FM8" s="234"/>
      <c r="FN8" s="234"/>
      <c r="FO8" s="234"/>
      <c r="FP8" s="234"/>
      <c r="FQ8" s="234"/>
      <c r="FR8" s="234"/>
      <c r="FS8" s="234"/>
      <c r="FT8" s="234"/>
      <c r="FU8" s="234"/>
      <c r="FV8" s="234"/>
      <c r="FW8" s="234"/>
      <c r="FX8" s="234"/>
      <c r="FY8" s="234"/>
      <c r="FZ8" s="234"/>
      <c r="GA8" s="234"/>
      <c r="GB8" s="234"/>
      <c r="GC8" s="234"/>
      <c r="GD8" s="234"/>
      <c r="GE8" s="234"/>
      <c r="GF8" s="234"/>
      <c r="GG8" s="234"/>
      <c r="GH8" s="234"/>
      <c r="GI8" s="234"/>
      <c r="GJ8" s="234"/>
      <c r="GK8" s="234"/>
      <c r="GL8" s="234"/>
      <c r="GM8" s="234"/>
      <c r="GN8" s="234"/>
      <c r="GO8" s="234"/>
      <c r="GP8" s="234"/>
      <c r="GQ8" s="234"/>
      <c r="GR8" s="234"/>
      <c r="GS8" s="234"/>
      <c r="GT8" s="234"/>
      <c r="GU8" s="234"/>
      <c r="GV8" s="234"/>
      <c r="GW8" s="234"/>
      <c r="GX8" s="234"/>
      <c r="GY8" s="234"/>
      <c r="GZ8" s="234"/>
      <c r="HA8" s="234"/>
      <c r="HB8" s="234"/>
      <c r="HC8" s="234"/>
      <c r="HD8" s="234"/>
      <c r="HE8" s="234"/>
      <c r="HF8" s="234"/>
      <c r="HG8" s="234"/>
      <c r="HH8" s="234"/>
      <c r="HI8" s="234"/>
      <c r="HJ8" s="234"/>
      <c r="HK8" s="234"/>
      <c r="HL8" s="234"/>
      <c r="HM8" s="234"/>
      <c r="HN8" s="234"/>
      <c r="HO8" s="234"/>
      <c r="HP8" s="234"/>
      <c r="HQ8" s="234"/>
      <c r="HR8" s="234"/>
      <c r="HS8" s="234"/>
      <c r="HT8" s="234"/>
      <c r="HU8" s="234"/>
      <c r="HV8" s="234"/>
      <c r="HW8" s="234"/>
      <c r="HX8" s="234"/>
      <c r="HY8" s="234"/>
      <c r="HZ8" s="234"/>
      <c r="IA8" s="234"/>
      <c r="IB8" s="234"/>
      <c r="IC8" s="234"/>
      <c r="ID8" s="234"/>
      <c r="IE8" s="234"/>
      <c r="IF8" s="234"/>
      <c r="IG8" s="234"/>
      <c r="IH8" s="234"/>
      <c r="II8" s="234"/>
      <c r="IJ8" s="234"/>
      <c r="IK8" s="234"/>
      <c r="IL8" s="234"/>
      <c r="IM8" s="234"/>
      <c r="IN8" s="234"/>
      <c r="IO8" s="234"/>
      <c r="IP8" s="234"/>
      <c r="IQ8" s="234"/>
      <c r="IR8" s="234"/>
      <c r="IS8" s="234"/>
      <c r="IT8" s="234"/>
      <c r="IU8" s="234"/>
      <c r="IV8" s="234"/>
    </row>
    <row r="9" s="147" customFormat="1" spans="1:256">
      <c r="A9" s="241"/>
      <c r="B9" s="241" t="s">
        <v>1330</v>
      </c>
      <c r="C9" s="243">
        <v>0.02</v>
      </c>
      <c r="D9" s="243">
        <v>2.08</v>
      </c>
      <c r="E9" s="243">
        <v>2.3</v>
      </c>
      <c r="F9" s="244">
        <f t="shared" si="0"/>
        <v>0.09568</v>
      </c>
      <c r="G9" s="243">
        <v>2.53</v>
      </c>
      <c r="H9" s="244">
        <f t="shared" si="1"/>
        <v>0.105248</v>
      </c>
      <c r="I9" s="243">
        <v>2.41</v>
      </c>
      <c r="J9" s="244">
        <f t="shared" si="2"/>
        <v>0.100256</v>
      </c>
      <c r="K9" s="243">
        <v>2.65</v>
      </c>
      <c r="L9" s="244">
        <f t="shared" si="3"/>
        <v>0.11024</v>
      </c>
      <c r="M9" s="243">
        <v>2.17</v>
      </c>
      <c r="N9" s="244">
        <f t="shared" si="4"/>
        <v>0.090272</v>
      </c>
      <c r="O9" s="234"/>
      <c r="P9" s="234"/>
      <c r="Q9" s="234"/>
      <c r="R9" s="234"/>
      <c r="S9" s="234"/>
      <c r="T9" s="234"/>
      <c r="U9" s="234"/>
      <c r="V9" s="234"/>
      <c r="W9" s="234"/>
      <c r="X9" s="234"/>
      <c r="Y9" s="234"/>
      <c r="Z9" s="234"/>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34"/>
      <c r="BL9" s="234"/>
      <c r="BM9" s="234"/>
      <c r="BN9" s="234"/>
      <c r="BO9" s="234"/>
      <c r="BP9" s="234"/>
      <c r="BQ9" s="234"/>
      <c r="BR9" s="234"/>
      <c r="BS9" s="234"/>
      <c r="BT9" s="234"/>
      <c r="BU9" s="234"/>
      <c r="BV9" s="234"/>
      <c r="BW9" s="234"/>
      <c r="BX9" s="234"/>
      <c r="BY9" s="234"/>
      <c r="BZ9" s="234"/>
      <c r="CA9" s="234"/>
      <c r="CB9" s="234"/>
      <c r="CC9" s="234"/>
      <c r="CD9" s="234"/>
      <c r="CE9" s="234"/>
      <c r="CF9" s="234"/>
      <c r="CG9" s="234"/>
      <c r="CH9" s="234"/>
      <c r="CI9" s="234"/>
      <c r="CJ9" s="234"/>
      <c r="CK9" s="234"/>
      <c r="CL9" s="234"/>
      <c r="CM9" s="234"/>
      <c r="CN9" s="234"/>
      <c r="CO9" s="234"/>
      <c r="CP9" s="234"/>
      <c r="CQ9" s="234"/>
      <c r="CR9" s="234"/>
      <c r="CS9" s="234"/>
      <c r="CT9" s="234"/>
      <c r="CU9" s="234"/>
      <c r="CV9" s="234"/>
      <c r="CW9" s="234"/>
      <c r="CX9" s="234"/>
      <c r="CY9" s="234"/>
      <c r="CZ9" s="234"/>
      <c r="DA9" s="234"/>
      <c r="DB9" s="234"/>
      <c r="DC9" s="234"/>
      <c r="DD9" s="234"/>
      <c r="DE9" s="234"/>
      <c r="DF9" s="234"/>
      <c r="DG9" s="234"/>
      <c r="DH9" s="234"/>
      <c r="DI9" s="234"/>
      <c r="DJ9" s="234"/>
      <c r="DK9" s="234"/>
      <c r="DL9" s="234"/>
      <c r="DM9" s="234"/>
      <c r="DN9" s="234"/>
      <c r="DO9" s="234"/>
      <c r="DP9" s="234"/>
      <c r="DQ9" s="234"/>
      <c r="DR9" s="234"/>
      <c r="DS9" s="234"/>
      <c r="DT9" s="234"/>
      <c r="DU9" s="234"/>
      <c r="DV9" s="234"/>
      <c r="DW9" s="234"/>
      <c r="DX9" s="234"/>
      <c r="DY9" s="234"/>
      <c r="DZ9" s="234"/>
      <c r="EA9" s="234"/>
      <c r="EB9" s="234"/>
      <c r="EC9" s="234"/>
      <c r="ED9" s="234"/>
      <c r="EE9" s="234"/>
      <c r="EF9" s="234"/>
      <c r="EG9" s="234"/>
      <c r="EH9" s="234"/>
      <c r="EI9" s="234"/>
      <c r="EJ9" s="234"/>
      <c r="EK9" s="234"/>
      <c r="EL9" s="234"/>
      <c r="EM9" s="234"/>
      <c r="EN9" s="234"/>
      <c r="EO9" s="234"/>
      <c r="EP9" s="234"/>
      <c r="EQ9" s="234"/>
      <c r="ER9" s="234"/>
      <c r="ES9" s="234"/>
      <c r="ET9" s="234"/>
      <c r="EU9" s="234"/>
      <c r="EV9" s="234"/>
      <c r="EW9" s="234"/>
      <c r="EX9" s="234"/>
      <c r="EY9" s="234"/>
      <c r="EZ9" s="234"/>
      <c r="FA9" s="234"/>
      <c r="FB9" s="234"/>
      <c r="FC9" s="234"/>
      <c r="FD9" s="234"/>
      <c r="FE9" s="234"/>
      <c r="FF9" s="234"/>
      <c r="FG9" s="234"/>
      <c r="FH9" s="234"/>
      <c r="FI9" s="234"/>
      <c r="FJ9" s="234"/>
      <c r="FK9" s="234"/>
      <c r="FL9" s="234"/>
      <c r="FM9" s="234"/>
      <c r="FN9" s="234"/>
      <c r="FO9" s="234"/>
      <c r="FP9" s="234"/>
      <c r="FQ9" s="234"/>
      <c r="FR9" s="234"/>
      <c r="FS9" s="234"/>
      <c r="FT9" s="234"/>
      <c r="FU9" s="234"/>
      <c r="FV9" s="234"/>
      <c r="FW9" s="234"/>
      <c r="FX9" s="234"/>
      <c r="FY9" s="234"/>
      <c r="FZ9" s="234"/>
      <c r="GA9" s="234"/>
      <c r="GB9" s="234"/>
      <c r="GC9" s="234"/>
      <c r="GD9" s="234"/>
      <c r="GE9" s="234"/>
      <c r="GF9" s="234"/>
      <c r="GG9" s="234"/>
      <c r="GH9" s="234"/>
      <c r="GI9" s="234"/>
      <c r="GJ9" s="234"/>
      <c r="GK9" s="234"/>
      <c r="GL9" s="234"/>
      <c r="GM9" s="234"/>
      <c r="GN9" s="234"/>
      <c r="GO9" s="234"/>
      <c r="GP9" s="234"/>
      <c r="GQ9" s="234"/>
      <c r="GR9" s="234"/>
      <c r="GS9" s="234"/>
      <c r="GT9" s="234"/>
      <c r="GU9" s="234"/>
      <c r="GV9" s="234"/>
      <c r="GW9" s="234"/>
      <c r="GX9" s="234"/>
      <c r="GY9" s="234"/>
      <c r="GZ9" s="234"/>
      <c r="HA9" s="234"/>
      <c r="HB9" s="234"/>
      <c r="HC9" s="234"/>
      <c r="HD9" s="234"/>
      <c r="HE9" s="234"/>
      <c r="HF9" s="234"/>
      <c r="HG9" s="234"/>
      <c r="HH9" s="234"/>
      <c r="HI9" s="234"/>
      <c r="HJ9" s="234"/>
      <c r="HK9" s="234"/>
      <c r="HL9" s="234"/>
      <c r="HM9" s="234"/>
      <c r="HN9" s="234"/>
      <c r="HO9" s="234"/>
      <c r="HP9" s="234"/>
      <c r="HQ9" s="234"/>
      <c r="HR9" s="234"/>
      <c r="HS9" s="234"/>
      <c r="HT9" s="234"/>
      <c r="HU9" s="234"/>
      <c r="HV9" s="234"/>
      <c r="HW9" s="234"/>
      <c r="HX9" s="234"/>
      <c r="HY9" s="234"/>
      <c r="HZ9" s="234"/>
      <c r="IA9" s="234"/>
      <c r="IB9" s="234"/>
      <c r="IC9" s="234"/>
      <c r="ID9" s="234"/>
      <c r="IE9" s="234"/>
      <c r="IF9" s="234"/>
      <c r="IG9" s="234"/>
      <c r="IH9" s="234"/>
      <c r="II9" s="234"/>
      <c r="IJ9" s="234"/>
      <c r="IK9" s="234"/>
      <c r="IL9" s="234"/>
      <c r="IM9" s="234"/>
      <c r="IN9" s="234"/>
      <c r="IO9" s="234"/>
      <c r="IP9" s="234"/>
      <c r="IQ9" s="234"/>
      <c r="IR9" s="234"/>
      <c r="IS9" s="234"/>
      <c r="IT9" s="234"/>
      <c r="IU9" s="234"/>
      <c r="IV9" s="234"/>
    </row>
    <row r="10" s="147" customFormat="1" spans="1:256">
      <c r="A10" s="241"/>
      <c r="B10" s="241" t="s">
        <v>1331</v>
      </c>
      <c r="C10" s="243">
        <v>0.01</v>
      </c>
      <c r="D10" s="243">
        <v>2</v>
      </c>
      <c r="E10" s="243">
        <v>4.1</v>
      </c>
      <c r="F10" s="244">
        <f t="shared" si="0"/>
        <v>0.082</v>
      </c>
      <c r="G10" s="243">
        <v>4.51</v>
      </c>
      <c r="H10" s="244">
        <f t="shared" si="1"/>
        <v>0.0902</v>
      </c>
      <c r="I10" s="243">
        <v>4.3</v>
      </c>
      <c r="J10" s="244">
        <f t="shared" si="2"/>
        <v>0.086</v>
      </c>
      <c r="K10" s="243">
        <v>4.72</v>
      </c>
      <c r="L10" s="244">
        <f t="shared" si="3"/>
        <v>0.0944</v>
      </c>
      <c r="M10" s="243">
        <v>3.87</v>
      </c>
      <c r="N10" s="244">
        <f t="shared" si="4"/>
        <v>0.0774</v>
      </c>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4"/>
      <c r="FL10" s="234"/>
      <c r="FM10" s="234"/>
      <c r="FN10" s="234"/>
      <c r="FO10" s="234"/>
      <c r="FP10" s="234"/>
      <c r="FQ10" s="234"/>
      <c r="FR10" s="234"/>
      <c r="FS10" s="234"/>
      <c r="FT10" s="234"/>
      <c r="FU10" s="234"/>
      <c r="FV10" s="234"/>
      <c r="FW10" s="234"/>
      <c r="FX10" s="234"/>
      <c r="FY10" s="234"/>
      <c r="FZ10" s="234"/>
      <c r="GA10" s="234"/>
      <c r="GB10" s="234"/>
      <c r="GC10" s="234"/>
      <c r="GD10" s="234"/>
      <c r="GE10" s="234"/>
      <c r="GF10" s="234"/>
      <c r="GG10" s="234"/>
      <c r="GH10" s="234"/>
      <c r="GI10" s="234"/>
      <c r="GJ10" s="234"/>
      <c r="GK10" s="234"/>
      <c r="GL10" s="234"/>
      <c r="GM10" s="234"/>
      <c r="GN10" s="234"/>
      <c r="GO10" s="234"/>
      <c r="GP10" s="234"/>
      <c r="GQ10" s="234"/>
      <c r="GR10" s="234"/>
      <c r="GS10" s="234"/>
      <c r="GT10" s="234"/>
      <c r="GU10" s="234"/>
      <c r="GV10" s="234"/>
      <c r="GW10" s="234"/>
      <c r="GX10" s="234"/>
      <c r="GY10" s="234"/>
      <c r="GZ10" s="234"/>
      <c r="HA10" s="234"/>
      <c r="HB10" s="234"/>
      <c r="HC10" s="234"/>
      <c r="HD10" s="234"/>
      <c r="HE10" s="234"/>
      <c r="HF10" s="234"/>
      <c r="HG10" s="234"/>
      <c r="HH10" s="234"/>
      <c r="HI10" s="234"/>
      <c r="HJ10" s="234"/>
      <c r="HK10" s="234"/>
      <c r="HL10" s="234"/>
      <c r="HM10" s="234"/>
      <c r="HN10" s="234"/>
      <c r="HO10" s="234"/>
      <c r="HP10" s="234"/>
      <c r="HQ10" s="234"/>
      <c r="HR10" s="234"/>
      <c r="HS10" s="234"/>
      <c r="HT10" s="234"/>
      <c r="HU10" s="234"/>
      <c r="HV10" s="234"/>
      <c r="HW10" s="234"/>
      <c r="HX10" s="234"/>
      <c r="HY10" s="234"/>
      <c r="HZ10" s="234"/>
      <c r="IA10" s="234"/>
      <c r="IB10" s="234"/>
      <c r="IC10" s="234"/>
      <c r="ID10" s="234"/>
      <c r="IE10" s="234"/>
      <c r="IF10" s="234"/>
      <c r="IG10" s="234"/>
      <c r="IH10" s="234"/>
      <c r="II10" s="234"/>
      <c r="IJ10" s="234"/>
      <c r="IK10" s="234"/>
      <c r="IL10" s="234"/>
      <c r="IM10" s="234"/>
      <c r="IN10" s="234"/>
      <c r="IO10" s="234"/>
      <c r="IP10" s="234"/>
      <c r="IQ10" s="234"/>
      <c r="IR10" s="234"/>
      <c r="IS10" s="234"/>
      <c r="IT10" s="234"/>
      <c r="IU10" s="234"/>
      <c r="IV10" s="234"/>
    </row>
    <row r="11" s="147" customFormat="1" spans="1:256">
      <c r="A11" s="245" t="s">
        <v>1332</v>
      </c>
      <c r="B11" s="245" t="s">
        <v>1333</v>
      </c>
      <c r="C11" s="246">
        <v>0.22</v>
      </c>
      <c r="D11" s="246">
        <v>4.5</v>
      </c>
      <c r="E11" s="246">
        <v>2.8</v>
      </c>
      <c r="F11" s="247">
        <f t="shared" ref="F11:F16" si="5">C11*(D11-6)*(5-E11)</f>
        <v>-0.726</v>
      </c>
      <c r="G11" s="246">
        <v>3.08</v>
      </c>
      <c r="H11" s="247">
        <f t="shared" ref="H11:H16" si="6">C11*(D11-6)*(5-G11)</f>
        <v>-0.6336</v>
      </c>
      <c r="I11" s="246">
        <v>2.93</v>
      </c>
      <c r="J11" s="247">
        <f t="shared" ref="J11:J16" si="7">C11*(D11-6)*(5-I11)</f>
        <v>-0.6831</v>
      </c>
      <c r="K11" s="246">
        <v>3.22</v>
      </c>
      <c r="L11" s="247">
        <f t="shared" ref="L11:L16" si="8">C11*(D11-6)*(5-K11)</f>
        <v>-0.5874</v>
      </c>
      <c r="M11" s="246">
        <v>2.64</v>
      </c>
      <c r="N11" s="247">
        <f t="shared" ref="N11:N16" si="9">C11*(D11-6)*(5-M11)</f>
        <v>-0.7788</v>
      </c>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c r="DG11" s="234"/>
      <c r="DH11" s="234"/>
      <c r="DI11" s="234"/>
      <c r="DJ11" s="234"/>
      <c r="DK11" s="234"/>
      <c r="DL11" s="234"/>
      <c r="DM11" s="234"/>
      <c r="DN11" s="234"/>
      <c r="DO11" s="234"/>
      <c r="DP11" s="234"/>
      <c r="DQ11" s="234"/>
      <c r="DR11" s="234"/>
      <c r="DS11" s="234"/>
      <c r="DT11" s="234"/>
      <c r="DU11" s="234"/>
      <c r="DV11" s="234"/>
      <c r="DW11" s="234"/>
      <c r="DX11" s="234"/>
      <c r="DY11" s="234"/>
      <c r="DZ11" s="234"/>
      <c r="EA11" s="234"/>
      <c r="EB11" s="234"/>
      <c r="EC11" s="234"/>
      <c r="ED11" s="234"/>
      <c r="EE11" s="234"/>
      <c r="EF11" s="234"/>
      <c r="EG11" s="234"/>
      <c r="EH11" s="234"/>
      <c r="EI11" s="234"/>
      <c r="EJ11" s="234"/>
      <c r="EK11" s="234"/>
      <c r="EL11" s="234"/>
      <c r="EM11" s="234"/>
      <c r="EN11" s="234"/>
      <c r="EO11" s="234"/>
      <c r="EP11" s="234"/>
      <c r="EQ11" s="234"/>
      <c r="ER11" s="234"/>
      <c r="ES11" s="234"/>
      <c r="ET11" s="234"/>
      <c r="EU11" s="234"/>
      <c r="EV11" s="234"/>
      <c r="EW11" s="234"/>
      <c r="EX11" s="234"/>
      <c r="EY11" s="234"/>
      <c r="EZ11" s="234"/>
      <c r="FA11" s="234"/>
      <c r="FB11" s="234"/>
      <c r="FC11" s="234"/>
      <c r="FD11" s="234"/>
      <c r="FE11" s="234"/>
      <c r="FF11" s="234"/>
      <c r="FG11" s="234"/>
      <c r="FH11" s="234"/>
      <c r="FI11" s="234"/>
      <c r="FJ11" s="234"/>
      <c r="FK11" s="234"/>
      <c r="FL11" s="234"/>
      <c r="FM11" s="234"/>
      <c r="FN11" s="234"/>
      <c r="FO11" s="234"/>
      <c r="FP11" s="234"/>
      <c r="FQ11" s="234"/>
      <c r="FR11" s="234"/>
      <c r="FS11" s="234"/>
      <c r="FT11" s="234"/>
      <c r="FU11" s="234"/>
      <c r="FV11" s="234"/>
      <c r="FW11" s="234"/>
      <c r="FX11" s="234"/>
      <c r="FY11" s="234"/>
      <c r="FZ11" s="234"/>
      <c r="GA11" s="234"/>
      <c r="GB11" s="234"/>
      <c r="GC11" s="234"/>
      <c r="GD11" s="234"/>
      <c r="GE11" s="234"/>
      <c r="GF11" s="234"/>
      <c r="GG11" s="234"/>
      <c r="GH11" s="234"/>
      <c r="GI11" s="234"/>
      <c r="GJ11" s="234"/>
      <c r="GK11" s="234"/>
      <c r="GL11" s="234"/>
      <c r="GM11" s="234"/>
      <c r="GN11" s="234"/>
      <c r="GO11" s="234"/>
      <c r="GP11" s="234"/>
      <c r="GQ11" s="234"/>
      <c r="GR11" s="234"/>
      <c r="GS11" s="234"/>
      <c r="GT11" s="234"/>
      <c r="GU11" s="234"/>
      <c r="GV11" s="234"/>
      <c r="GW11" s="234"/>
      <c r="GX11" s="234"/>
      <c r="GY11" s="234"/>
      <c r="GZ11" s="234"/>
      <c r="HA11" s="234"/>
      <c r="HB11" s="234"/>
      <c r="HC11" s="234"/>
      <c r="HD11" s="234"/>
      <c r="HE11" s="234"/>
      <c r="HF11" s="234"/>
      <c r="HG11" s="234"/>
      <c r="HH11" s="234"/>
      <c r="HI11" s="234"/>
      <c r="HJ11" s="234"/>
      <c r="HK11" s="234"/>
      <c r="HL11" s="234"/>
      <c r="HM11" s="234"/>
      <c r="HN11" s="234"/>
      <c r="HO11" s="234"/>
      <c r="HP11" s="234"/>
      <c r="HQ11" s="234"/>
      <c r="HR11" s="234"/>
      <c r="HS11" s="234"/>
      <c r="HT11" s="234"/>
      <c r="HU11" s="234"/>
      <c r="HV11" s="234"/>
      <c r="HW11" s="234"/>
      <c r="HX11" s="234"/>
      <c r="HY11" s="234"/>
      <c r="HZ11" s="234"/>
      <c r="IA11" s="234"/>
      <c r="IB11" s="234"/>
      <c r="IC11" s="234"/>
      <c r="ID11" s="234"/>
      <c r="IE11" s="234"/>
      <c r="IF11" s="234"/>
      <c r="IG11" s="234"/>
      <c r="IH11" s="234"/>
      <c r="II11" s="234"/>
      <c r="IJ11" s="234"/>
      <c r="IK11" s="234"/>
      <c r="IL11" s="234"/>
      <c r="IM11" s="234"/>
      <c r="IN11" s="234"/>
      <c r="IO11" s="234"/>
      <c r="IP11" s="234"/>
      <c r="IQ11" s="234"/>
      <c r="IR11" s="234"/>
      <c r="IS11" s="234"/>
      <c r="IT11" s="234"/>
      <c r="IU11" s="234"/>
      <c r="IV11" s="234"/>
    </row>
    <row r="12" s="147" customFormat="1" spans="1:256">
      <c r="A12" s="241"/>
      <c r="B12" s="241" t="s">
        <v>1327</v>
      </c>
      <c r="C12" s="243">
        <v>0.1</v>
      </c>
      <c r="D12" s="243">
        <v>2.8</v>
      </c>
      <c r="E12" s="243">
        <v>3.8</v>
      </c>
      <c r="F12" s="244">
        <f t="shared" si="5"/>
        <v>-0.384</v>
      </c>
      <c r="G12" s="243">
        <v>4.18</v>
      </c>
      <c r="H12" s="244">
        <f t="shared" si="6"/>
        <v>-0.2624</v>
      </c>
      <c r="I12" s="243">
        <v>3.98</v>
      </c>
      <c r="J12" s="244">
        <f t="shared" si="7"/>
        <v>-0.3264</v>
      </c>
      <c r="K12" s="243">
        <v>4.37</v>
      </c>
      <c r="L12" s="244">
        <f t="shared" si="8"/>
        <v>-0.2016</v>
      </c>
      <c r="M12" s="243">
        <v>3.58</v>
      </c>
      <c r="N12" s="244">
        <f t="shared" si="9"/>
        <v>-0.4544</v>
      </c>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34"/>
      <c r="BL12" s="234"/>
      <c r="BM12" s="234"/>
      <c r="BN12" s="234"/>
      <c r="BO12" s="234"/>
      <c r="BP12" s="234"/>
      <c r="BQ12" s="234"/>
      <c r="BR12" s="234"/>
      <c r="BS12" s="234"/>
      <c r="BT12" s="234"/>
      <c r="BU12" s="234"/>
      <c r="BV12" s="234"/>
      <c r="BW12" s="234"/>
      <c r="BX12" s="234"/>
      <c r="BY12" s="234"/>
      <c r="BZ12" s="234"/>
      <c r="CA12" s="234"/>
      <c r="CB12" s="234"/>
      <c r="CC12" s="234"/>
      <c r="CD12" s="234"/>
      <c r="CE12" s="234"/>
      <c r="CF12" s="234"/>
      <c r="CG12" s="234"/>
      <c r="CH12" s="234"/>
      <c r="CI12" s="234"/>
      <c r="CJ12" s="234"/>
      <c r="CK12" s="234"/>
      <c r="CL12" s="234"/>
      <c r="CM12" s="234"/>
      <c r="CN12" s="234"/>
      <c r="CO12" s="234"/>
      <c r="CP12" s="234"/>
      <c r="CQ12" s="234"/>
      <c r="CR12" s="234"/>
      <c r="CS12" s="234"/>
      <c r="CT12" s="234"/>
      <c r="CU12" s="234"/>
      <c r="CV12" s="234"/>
      <c r="CW12" s="234"/>
      <c r="CX12" s="234"/>
      <c r="CY12" s="234"/>
      <c r="CZ12" s="234"/>
      <c r="DA12" s="234"/>
      <c r="DB12" s="234"/>
      <c r="DC12" s="234"/>
      <c r="DD12" s="234"/>
      <c r="DE12" s="234"/>
      <c r="DF12" s="234"/>
      <c r="DG12" s="234"/>
      <c r="DH12" s="234"/>
      <c r="DI12" s="234"/>
      <c r="DJ12" s="234"/>
      <c r="DK12" s="234"/>
      <c r="DL12" s="234"/>
      <c r="DM12" s="234"/>
      <c r="DN12" s="234"/>
      <c r="DO12" s="234"/>
      <c r="DP12" s="234"/>
      <c r="DQ12" s="234"/>
      <c r="DR12" s="234"/>
      <c r="DS12" s="234"/>
      <c r="DT12" s="234"/>
      <c r="DU12" s="234"/>
      <c r="DV12" s="234"/>
      <c r="DW12" s="234"/>
      <c r="DX12" s="234"/>
      <c r="DY12" s="234"/>
      <c r="DZ12" s="234"/>
      <c r="EA12" s="234"/>
      <c r="EB12" s="234"/>
      <c r="EC12" s="234"/>
      <c r="ED12" s="234"/>
      <c r="EE12" s="234"/>
      <c r="EF12" s="234"/>
      <c r="EG12" s="234"/>
      <c r="EH12" s="234"/>
      <c r="EI12" s="234"/>
      <c r="EJ12" s="234"/>
      <c r="EK12" s="234"/>
      <c r="EL12" s="234"/>
      <c r="EM12" s="234"/>
      <c r="EN12" s="234"/>
      <c r="EO12" s="234"/>
      <c r="EP12" s="234"/>
      <c r="EQ12" s="234"/>
      <c r="ER12" s="234"/>
      <c r="ES12" s="234"/>
      <c r="ET12" s="234"/>
      <c r="EU12" s="234"/>
      <c r="EV12" s="234"/>
      <c r="EW12" s="234"/>
      <c r="EX12" s="234"/>
      <c r="EY12" s="234"/>
      <c r="EZ12" s="234"/>
      <c r="FA12" s="234"/>
      <c r="FB12" s="234"/>
      <c r="FC12" s="234"/>
      <c r="FD12" s="234"/>
      <c r="FE12" s="234"/>
      <c r="FF12" s="234"/>
      <c r="FG12" s="234"/>
      <c r="FH12" s="234"/>
      <c r="FI12" s="234"/>
      <c r="FJ12" s="234"/>
      <c r="FK12" s="234"/>
      <c r="FL12" s="234"/>
      <c r="FM12" s="234"/>
      <c r="FN12" s="234"/>
      <c r="FO12" s="234"/>
      <c r="FP12" s="234"/>
      <c r="FQ12" s="234"/>
      <c r="FR12" s="234"/>
      <c r="FS12" s="234"/>
      <c r="FT12" s="234"/>
      <c r="FU12" s="234"/>
      <c r="FV12" s="234"/>
      <c r="FW12" s="234"/>
      <c r="FX12" s="234"/>
      <c r="FY12" s="234"/>
      <c r="FZ12" s="234"/>
      <c r="GA12" s="234"/>
      <c r="GB12" s="234"/>
      <c r="GC12" s="234"/>
      <c r="GD12" s="234"/>
      <c r="GE12" s="234"/>
      <c r="GF12" s="234"/>
      <c r="GG12" s="234"/>
      <c r="GH12" s="234"/>
      <c r="GI12" s="234"/>
      <c r="GJ12" s="234"/>
      <c r="GK12" s="234"/>
      <c r="GL12" s="234"/>
      <c r="GM12" s="234"/>
      <c r="GN12" s="234"/>
      <c r="GO12" s="234"/>
      <c r="GP12" s="234"/>
      <c r="GQ12" s="234"/>
      <c r="GR12" s="234"/>
      <c r="GS12" s="234"/>
      <c r="GT12" s="234"/>
      <c r="GU12" s="234"/>
      <c r="GV12" s="234"/>
      <c r="GW12" s="234"/>
      <c r="GX12" s="234"/>
      <c r="GY12" s="234"/>
      <c r="GZ12" s="234"/>
      <c r="HA12" s="234"/>
      <c r="HB12" s="234"/>
      <c r="HC12" s="234"/>
      <c r="HD12" s="234"/>
      <c r="HE12" s="234"/>
      <c r="HF12" s="234"/>
      <c r="HG12" s="234"/>
      <c r="HH12" s="234"/>
      <c r="HI12" s="234"/>
      <c r="HJ12" s="234"/>
      <c r="HK12" s="234"/>
      <c r="HL12" s="234"/>
      <c r="HM12" s="234"/>
      <c r="HN12" s="234"/>
      <c r="HO12" s="234"/>
      <c r="HP12" s="234"/>
      <c r="HQ12" s="234"/>
      <c r="HR12" s="234"/>
      <c r="HS12" s="234"/>
      <c r="HT12" s="234"/>
      <c r="HU12" s="234"/>
      <c r="HV12" s="234"/>
      <c r="HW12" s="234"/>
      <c r="HX12" s="234"/>
      <c r="HY12" s="234"/>
      <c r="HZ12" s="234"/>
      <c r="IA12" s="234"/>
      <c r="IB12" s="234"/>
      <c r="IC12" s="234"/>
      <c r="ID12" s="234"/>
      <c r="IE12" s="234"/>
      <c r="IF12" s="234"/>
      <c r="IG12" s="234"/>
      <c r="IH12" s="234"/>
      <c r="II12" s="234"/>
      <c r="IJ12" s="234"/>
      <c r="IK12" s="234"/>
      <c r="IL12" s="234"/>
      <c r="IM12" s="234"/>
      <c r="IN12" s="234"/>
      <c r="IO12" s="234"/>
      <c r="IP12" s="234"/>
      <c r="IQ12" s="234"/>
      <c r="IR12" s="234"/>
      <c r="IS12" s="234"/>
      <c r="IT12" s="234"/>
      <c r="IU12" s="234"/>
      <c r="IV12" s="234"/>
    </row>
    <row r="13" s="147" customFormat="1" spans="1:256">
      <c r="A13" s="241"/>
      <c r="B13" s="241" t="s">
        <v>1328</v>
      </c>
      <c r="C13" s="243">
        <v>0.01</v>
      </c>
      <c r="D13" s="243">
        <v>2.6</v>
      </c>
      <c r="E13" s="243">
        <v>4.7</v>
      </c>
      <c r="F13" s="244">
        <f t="shared" si="5"/>
        <v>-0.0102</v>
      </c>
      <c r="G13" s="243">
        <v>3</v>
      </c>
      <c r="H13" s="244">
        <f t="shared" si="6"/>
        <v>-0.068</v>
      </c>
      <c r="I13" s="243">
        <v>2.86</v>
      </c>
      <c r="J13" s="244">
        <f t="shared" si="7"/>
        <v>-0.07276</v>
      </c>
      <c r="K13" s="243">
        <v>4.2</v>
      </c>
      <c r="L13" s="244">
        <f t="shared" si="8"/>
        <v>-0.0272</v>
      </c>
      <c r="M13" s="243">
        <v>4.43</v>
      </c>
      <c r="N13" s="244">
        <f t="shared" si="9"/>
        <v>-0.01938</v>
      </c>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34"/>
      <c r="BL13" s="234"/>
      <c r="BM13" s="234"/>
      <c r="BN13" s="234"/>
      <c r="BO13" s="234"/>
      <c r="BP13" s="234"/>
      <c r="BQ13" s="234"/>
      <c r="BR13" s="234"/>
      <c r="BS13" s="234"/>
      <c r="BT13" s="234"/>
      <c r="BU13" s="234"/>
      <c r="BV13" s="234"/>
      <c r="BW13" s="234"/>
      <c r="BX13" s="234"/>
      <c r="BY13" s="234"/>
      <c r="BZ13" s="234"/>
      <c r="CA13" s="234"/>
      <c r="CB13" s="234"/>
      <c r="CC13" s="234"/>
      <c r="CD13" s="234"/>
      <c r="CE13" s="234"/>
      <c r="CF13" s="234"/>
      <c r="CG13" s="234"/>
      <c r="CH13" s="234"/>
      <c r="CI13" s="234"/>
      <c r="CJ13" s="234"/>
      <c r="CK13" s="234"/>
      <c r="CL13" s="234"/>
      <c r="CM13" s="234"/>
      <c r="CN13" s="234"/>
      <c r="CO13" s="234"/>
      <c r="CP13" s="234"/>
      <c r="CQ13" s="234"/>
      <c r="CR13" s="234"/>
      <c r="CS13" s="234"/>
      <c r="CT13" s="234"/>
      <c r="CU13" s="234"/>
      <c r="CV13" s="234"/>
      <c r="CW13" s="234"/>
      <c r="CX13" s="234"/>
      <c r="CY13" s="234"/>
      <c r="CZ13" s="234"/>
      <c r="DA13" s="234"/>
      <c r="DB13" s="234"/>
      <c r="DC13" s="234"/>
      <c r="DD13" s="234"/>
      <c r="DE13" s="234"/>
      <c r="DF13" s="234"/>
      <c r="DG13" s="234"/>
      <c r="DH13" s="234"/>
      <c r="DI13" s="234"/>
      <c r="DJ13" s="234"/>
      <c r="DK13" s="234"/>
      <c r="DL13" s="234"/>
      <c r="DM13" s="234"/>
      <c r="DN13" s="234"/>
      <c r="DO13" s="234"/>
      <c r="DP13" s="234"/>
      <c r="DQ13" s="234"/>
      <c r="DR13" s="234"/>
      <c r="DS13" s="234"/>
      <c r="DT13" s="234"/>
      <c r="DU13" s="234"/>
      <c r="DV13" s="234"/>
      <c r="DW13" s="234"/>
      <c r="DX13" s="234"/>
      <c r="DY13" s="234"/>
      <c r="DZ13" s="234"/>
      <c r="EA13" s="234"/>
      <c r="EB13" s="234"/>
      <c r="EC13" s="234"/>
      <c r="ED13" s="234"/>
      <c r="EE13" s="234"/>
      <c r="EF13" s="234"/>
      <c r="EG13" s="234"/>
      <c r="EH13" s="234"/>
      <c r="EI13" s="234"/>
      <c r="EJ13" s="234"/>
      <c r="EK13" s="234"/>
      <c r="EL13" s="234"/>
      <c r="EM13" s="234"/>
      <c r="EN13" s="234"/>
      <c r="EO13" s="234"/>
      <c r="EP13" s="234"/>
      <c r="EQ13" s="234"/>
      <c r="ER13" s="234"/>
      <c r="ES13" s="234"/>
      <c r="ET13" s="234"/>
      <c r="EU13" s="234"/>
      <c r="EV13" s="234"/>
      <c r="EW13" s="234"/>
      <c r="EX13" s="234"/>
      <c r="EY13" s="234"/>
      <c r="EZ13" s="234"/>
      <c r="FA13" s="234"/>
      <c r="FB13" s="234"/>
      <c r="FC13" s="234"/>
      <c r="FD13" s="234"/>
      <c r="FE13" s="234"/>
      <c r="FF13" s="234"/>
      <c r="FG13" s="234"/>
      <c r="FH13" s="234"/>
      <c r="FI13" s="234"/>
      <c r="FJ13" s="234"/>
      <c r="FK13" s="234"/>
      <c r="FL13" s="234"/>
      <c r="FM13" s="234"/>
      <c r="FN13" s="234"/>
      <c r="FO13" s="234"/>
      <c r="FP13" s="234"/>
      <c r="FQ13" s="234"/>
      <c r="FR13" s="234"/>
      <c r="FS13" s="234"/>
      <c r="FT13" s="234"/>
      <c r="FU13" s="234"/>
      <c r="FV13" s="234"/>
      <c r="FW13" s="234"/>
      <c r="FX13" s="234"/>
      <c r="FY13" s="234"/>
      <c r="FZ13" s="234"/>
      <c r="GA13" s="234"/>
      <c r="GB13" s="234"/>
      <c r="GC13" s="234"/>
      <c r="GD13" s="234"/>
      <c r="GE13" s="234"/>
      <c r="GF13" s="234"/>
      <c r="GG13" s="234"/>
      <c r="GH13" s="234"/>
      <c r="GI13" s="234"/>
      <c r="GJ13" s="234"/>
      <c r="GK13" s="234"/>
      <c r="GL13" s="234"/>
      <c r="GM13" s="234"/>
      <c r="GN13" s="234"/>
      <c r="GO13" s="234"/>
      <c r="GP13" s="234"/>
      <c r="GQ13" s="234"/>
      <c r="GR13" s="234"/>
      <c r="GS13" s="234"/>
      <c r="GT13" s="234"/>
      <c r="GU13" s="234"/>
      <c r="GV13" s="234"/>
      <c r="GW13" s="234"/>
      <c r="GX13" s="234"/>
      <c r="GY13" s="234"/>
      <c r="GZ13" s="234"/>
      <c r="HA13" s="234"/>
      <c r="HB13" s="234"/>
      <c r="HC13" s="234"/>
      <c r="HD13" s="234"/>
      <c r="HE13" s="234"/>
      <c r="HF13" s="234"/>
      <c r="HG13" s="234"/>
      <c r="HH13" s="234"/>
      <c r="HI13" s="234"/>
      <c r="HJ13" s="234"/>
      <c r="HK13" s="234"/>
      <c r="HL13" s="234"/>
      <c r="HM13" s="234"/>
      <c r="HN13" s="234"/>
      <c r="HO13" s="234"/>
      <c r="HP13" s="234"/>
      <c r="HQ13" s="234"/>
      <c r="HR13" s="234"/>
      <c r="HS13" s="234"/>
      <c r="HT13" s="234"/>
      <c r="HU13" s="234"/>
      <c r="HV13" s="234"/>
      <c r="HW13" s="234"/>
      <c r="HX13" s="234"/>
      <c r="HY13" s="234"/>
      <c r="HZ13" s="234"/>
      <c r="IA13" s="234"/>
      <c r="IB13" s="234"/>
      <c r="IC13" s="234"/>
      <c r="ID13" s="234"/>
      <c r="IE13" s="234"/>
      <c r="IF13" s="234"/>
      <c r="IG13" s="234"/>
      <c r="IH13" s="234"/>
      <c r="II13" s="234"/>
      <c r="IJ13" s="234"/>
      <c r="IK13" s="234"/>
      <c r="IL13" s="234"/>
      <c r="IM13" s="234"/>
      <c r="IN13" s="234"/>
      <c r="IO13" s="234"/>
      <c r="IP13" s="234"/>
      <c r="IQ13" s="234"/>
      <c r="IR13" s="234"/>
      <c r="IS13" s="234"/>
      <c r="IT13" s="234"/>
      <c r="IU13" s="234"/>
      <c r="IV13" s="234"/>
    </row>
    <row r="14" s="147" customFormat="1" spans="1:256">
      <c r="A14" s="241"/>
      <c r="B14" s="241" t="s">
        <v>1334</v>
      </c>
      <c r="C14" s="243">
        <v>0.01</v>
      </c>
      <c r="D14" s="243">
        <v>2.2</v>
      </c>
      <c r="E14" s="243">
        <v>1.9</v>
      </c>
      <c r="F14" s="244">
        <f t="shared" si="5"/>
        <v>-0.1178</v>
      </c>
      <c r="G14" s="243">
        <v>2.09</v>
      </c>
      <c r="H14" s="244">
        <f t="shared" si="6"/>
        <v>-0.11058</v>
      </c>
      <c r="I14" s="243">
        <v>1.99</v>
      </c>
      <c r="J14" s="244">
        <f t="shared" si="7"/>
        <v>-0.11438</v>
      </c>
      <c r="K14" s="243">
        <v>2.19</v>
      </c>
      <c r="L14" s="244">
        <f t="shared" si="8"/>
        <v>-0.10678</v>
      </c>
      <c r="M14" s="243">
        <v>1.79</v>
      </c>
      <c r="N14" s="244">
        <f t="shared" si="9"/>
        <v>-0.12198</v>
      </c>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234"/>
      <c r="CH14" s="234"/>
      <c r="CI14" s="234"/>
      <c r="CJ14" s="234"/>
      <c r="CK14" s="234"/>
      <c r="CL14" s="234"/>
      <c r="CM14" s="234"/>
      <c r="CN14" s="234"/>
      <c r="CO14" s="234"/>
      <c r="CP14" s="234"/>
      <c r="CQ14" s="234"/>
      <c r="CR14" s="234"/>
      <c r="CS14" s="234"/>
      <c r="CT14" s="234"/>
      <c r="CU14" s="234"/>
      <c r="CV14" s="234"/>
      <c r="CW14" s="234"/>
      <c r="CX14" s="234"/>
      <c r="CY14" s="234"/>
      <c r="CZ14" s="234"/>
      <c r="DA14" s="234"/>
      <c r="DB14" s="234"/>
      <c r="DC14" s="234"/>
      <c r="DD14" s="234"/>
      <c r="DE14" s="234"/>
      <c r="DF14" s="234"/>
      <c r="DG14" s="234"/>
      <c r="DH14" s="234"/>
      <c r="DI14" s="234"/>
      <c r="DJ14" s="234"/>
      <c r="DK14" s="234"/>
      <c r="DL14" s="234"/>
      <c r="DM14" s="234"/>
      <c r="DN14" s="234"/>
      <c r="DO14" s="234"/>
      <c r="DP14" s="234"/>
      <c r="DQ14" s="234"/>
      <c r="DR14" s="234"/>
      <c r="DS14" s="234"/>
      <c r="DT14" s="234"/>
      <c r="DU14" s="234"/>
      <c r="DV14" s="234"/>
      <c r="DW14" s="234"/>
      <c r="DX14" s="234"/>
      <c r="DY14" s="234"/>
      <c r="DZ14" s="234"/>
      <c r="EA14" s="234"/>
      <c r="EB14" s="234"/>
      <c r="EC14" s="234"/>
      <c r="ED14" s="234"/>
      <c r="EE14" s="234"/>
      <c r="EF14" s="234"/>
      <c r="EG14" s="234"/>
      <c r="EH14" s="234"/>
      <c r="EI14" s="234"/>
      <c r="EJ14" s="234"/>
      <c r="EK14" s="234"/>
      <c r="EL14" s="234"/>
      <c r="EM14" s="234"/>
      <c r="EN14" s="234"/>
      <c r="EO14" s="234"/>
      <c r="EP14" s="234"/>
      <c r="EQ14" s="234"/>
      <c r="ER14" s="234"/>
      <c r="ES14" s="234"/>
      <c r="ET14" s="234"/>
      <c r="EU14" s="234"/>
      <c r="EV14" s="234"/>
      <c r="EW14" s="234"/>
      <c r="EX14" s="234"/>
      <c r="EY14" s="234"/>
      <c r="EZ14" s="234"/>
      <c r="FA14" s="234"/>
      <c r="FB14" s="234"/>
      <c r="FC14" s="234"/>
      <c r="FD14" s="234"/>
      <c r="FE14" s="234"/>
      <c r="FF14" s="234"/>
      <c r="FG14" s="234"/>
      <c r="FH14" s="234"/>
      <c r="FI14" s="234"/>
      <c r="FJ14" s="234"/>
      <c r="FK14" s="234"/>
      <c r="FL14" s="234"/>
      <c r="FM14" s="234"/>
      <c r="FN14" s="234"/>
      <c r="FO14" s="234"/>
      <c r="FP14" s="234"/>
      <c r="FQ14" s="234"/>
      <c r="FR14" s="234"/>
      <c r="FS14" s="234"/>
      <c r="FT14" s="234"/>
      <c r="FU14" s="234"/>
      <c r="FV14" s="234"/>
      <c r="FW14" s="234"/>
      <c r="FX14" s="234"/>
      <c r="FY14" s="234"/>
      <c r="FZ14" s="234"/>
      <c r="GA14" s="234"/>
      <c r="GB14" s="234"/>
      <c r="GC14" s="234"/>
      <c r="GD14" s="234"/>
      <c r="GE14" s="234"/>
      <c r="GF14" s="234"/>
      <c r="GG14" s="234"/>
      <c r="GH14" s="234"/>
      <c r="GI14" s="234"/>
      <c r="GJ14" s="234"/>
      <c r="GK14" s="234"/>
      <c r="GL14" s="234"/>
      <c r="GM14" s="234"/>
      <c r="GN14" s="234"/>
      <c r="GO14" s="234"/>
      <c r="GP14" s="234"/>
      <c r="GQ14" s="234"/>
      <c r="GR14" s="234"/>
      <c r="GS14" s="234"/>
      <c r="GT14" s="234"/>
      <c r="GU14" s="234"/>
      <c r="GV14" s="234"/>
      <c r="GW14" s="234"/>
      <c r="GX14" s="234"/>
      <c r="GY14" s="234"/>
      <c r="GZ14" s="234"/>
      <c r="HA14" s="234"/>
      <c r="HB14" s="234"/>
      <c r="HC14" s="234"/>
      <c r="HD14" s="234"/>
      <c r="HE14" s="234"/>
      <c r="HF14" s="234"/>
      <c r="HG14" s="234"/>
      <c r="HH14" s="234"/>
      <c r="HI14" s="234"/>
      <c r="HJ14" s="234"/>
      <c r="HK14" s="234"/>
      <c r="HL14" s="234"/>
      <c r="HM14" s="234"/>
      <c r="HN14" s="234"/>
      <c r="HO14" s="234"/>
      <c r="HP14" s="234"/>
      <c r="HQ14" s="234"/>
      <c r="HR14" s="234"/>
      <c r="HS14" s="234"/>
      <c r="HT14" s="234"/>
      <c r="HU14" s="234"/>
      <c r="HV14" s="234"/>
      <c r="HW14" s="234"/>
      <c r="HX14" s="234"/>
      <c r="HY14" s="234"/>
      <c r="HZ14" s="234"/>
      <c r="IA14" s="234"/>
      <c r="IB14" s="234"/>
      <c r="IC14" s="234"/>
      <c r="ID14" s="234"/>
      <c r="IE14" s="234"/>
      <c r="IF14" s="234"/>
      <c r="IG14" s="234"/>
      <c r="IH14" s="234"/>
      <c r="II14" s="234"/>
      <c r="IJ14" s="234"/>
      <c r="IK14" s="234"/>
      <c r="IL14" s="234"/>
      <c r="IM14" s="234"/>
      <c r="IN14" s="234"/>
      <c r="IO14" s="234"/>
      <c r="IP14" s="234"/>
      <c r="IQ14" s="234"/>
      <c r="IR14" s="234"/>
      <c r="IS14" s="234"/>
      <c r="IT14" s="234"/>
      <c r="IU14" s="234"/>
      <c r="IV14" s="234"/>
    </row>
    <row r="15" s="147" customFormat="1" spans="1:256">
      <c r="A15" s="241"/>
      <c r="B15" s="241" t="s">
        <v>1330</v>
      </c>
      <c r="C15" s="243">
        <v>0.01</v>
      </c>
      <c r="D15" s="243">
        <v>3.2</v>
      </c>
      <c r="E15" s="243">
        <v>2.7</v>
      </c>
      <c r="F15" s="244">
        <f t="shared" si="5"/>
        <v>-0.0644</v>
      </c>
      <c r="G15" s="243">
        <v>2.97</v>
      </c>
      <c r="H15" s="244">
        <f t="shared" si="6"/>
        <v>-0.05684</v>
      </c>
      <c r="I15" s="243">
        <v>2.83</v>
      </c>
      <c r="J15" s="244">
        <f t="shared" si="7"/>
        <v>-0.06076</v>
      </c>
      <c r="K15" s="243">
        <v>3.11</v>
      </c>
      <c r="L15" s="244">
        <f t="shared" si="8"/>
        <v>-0.05292</v>
      </c>
      <c r="M15" s="243">
        <v>1.79</v>
      </c>
      <c r="N15" s="244">
        <f t="shared" si="9"/>
        <v>-0.08988</v>
      </c>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34"/>
      <c r="BL15" s="234"/>
      <c r="BM15" s="234"/>
      <c r="BN15" s="234"/>
      <c r="BO15" s="234"/>
      <c r="BP15" s="234"/>
      <c r="BQ15" s="234"/>
      <c r="BR15" s="234"/>
      <c r="BS15" s="234"/>
      <c r="BT15" s="234"/>
      <c r="BU15" s="234"/>
      <c r="BV15" s="234"/>
      <c r="BW15" s="234"/>
      <c r="BX15" s="234"/>
      <c r="BY15" s="234"/>
      <c r="BZ15" s="234"/>
      <c r="CA15" s="234"/>
      <c r="CB15" s="234"/>
      <c r="CC15" s="234"/>
      <c r="CD15" s="234"/>
      <c r="CE15" s="234"/>
      <c r="CF15" s="234"/>
      <c r="CG15" s="234"/>
      <c r="CH15" s="234"/>
      <c r="CI15" s="234"/>
      <c r="CJ15" s="234"/>
      <c r="CK15" s="234"/>
      <c r="CL15" s="234"/>
      <c r="CM15" s="234"/>
      <c r="CN15" s="234"/>
      <c r="CO15" s="234"/>
      <c r="CP15" s="234"/>
      <c r="CQ15" s="234"/>
      <c r="CR15" s="234"/>
      <c r="CS15" s="234"/>
      <c r="CT15" s="234"/>
      <c r="CU15" s="234"/>
      <c r="CV15" s="234"/>
      <c r="CW15" s="234"/>
      <c r="CX15" s="234"/>
      <c r="CY15" s="234"/>
      <c r="CZ15" s="234"/>
      <c r="DA15" s="234"/>
      <c r="DB15" s="234"/>
      <c r="DC15" s="234"/>
      <c r="DD15" s="234"/>
      <c r="DE15" s="234"/>
      <c r="DF15" s="234"/>
      <c r="DG15" s="234"/>
      <c r="DH15" s="234"/>
      <c r="DI15" s="234"/>
      <c r="DJ15" s="234"/>
      <c r="DK15" s="234"/>
      <c r="DL15" s="234"/>
      <c r="DM15" s="234"/>
      <c r="DN15" s="234"/>
      <c r="DO15" s="234"/>
      <c r="DP15" s="234"/>
      <c r="DQ15" s="234"/>
      <c r="DR15" s="234"/>
      <c r="DS15" s="234"/>
      <c r="DT15" s="234"/>
      <c r="DU15" s="234"/>
      <c r="DV15" s="234"/>
      <c r="DW15" s="234"/>
      <c r="DX15" s="234"/>
      <c r="DY15" s="234"/>
      <c r="DZ15" s="234"/>
      <c r="EA15" s="234"/>
      <c r="EB15" s="234"/>
      <c r="EC15" s="234"/>
      <c r="ED15" s="234"/>
      <c r="EE15" s="234"/>
      <c r="EF15" s="234"/>
      <c r="EG15" s="234"/>
      <c r="EH15" s="234"/>
      <c r="EI15" s="234"/>
      <c r="EJ15" s="234"/>
      <c r="EK15" s="234"/>
      <c r="EL15" s="234"/>
      <c r="EM15" s="234"/>
      <c r="EN15" s="234"/>
      <c r="EO15" s="234"/>
      <c r="EP15" s="234"/>
      <c r="EQ15" s="234"/>
      <c r="ER15" s="234"/>
      <c r="ES15" s="234"/>
      <c r="ET15" s="234"/>
      <c r="EU15" s="234"/>
      <c r="EV15" s="234"/>
      <c r="EW15" s="234"/>
      <c r="EX15" s="234"/>
      <c r="EY15" s="234"/>
      <c r="EZ15" s="234"/>
      <c r="FA15" s="234"/>
      <c r="FB15" s="234"/>
      <c r="FC15" s="234"/>
      <c r="FD15" s="234"/>
      <c r="FE15" s="234"/>
      <c r="FF15" s="234"/>
      <c r="FG15" s="234"/>
      <c r="FH15" s="234"/>
      <c r="FI15" s="234"/>
      <c r="FJ15" s="234"/>
      <c r="FK15" s="234"/>
      <c r="FL15" s="234"/>
      <c r="FM15" s="234"/>
      <c r="FN15" s="234"/>
      <c r="FO15" s="234"/>
      <c r="FP15" s="234"/>
      <c r="FQ15" s="234"/>
      <c r="FR15" s="234"/>
      <c r="FS15" s="234"/>
      <c r="FT15" s="234"/>
      <c r="FU15" s="234"/>
      <c r="FV15" s="234"/>
      <c r="FW15" s="234"/>
      <c r="FX15" s="234"/>
      <c r="FY15" s="234"/>
      <c r="FZ15" s="234"/>
      <c r="GA15" s="234"/>
      <c r="GB15" s="234"/>
      <c r="GC15" s="234"/>
      <c r="GD15" s="234"/>
      <c r="GE15" s="234"/>
      <c r="GF15" s="234"/>
      <c r="GG15" s="234"/>
      <c r="GH15" s="234"/>
      <c r="GI15" s="234"/>
      <c r="GJ15" s="234"/>
      <c r="GK15" s="234"/>
      <c r="GL15" s="234"/>
      <c r="GM15" s="234"/>
      <c r="GN15" s="234"/>
      <c r="GO15" s="234"/>
      <c r="GP15" s="234"/>
      <c r="GQ15" s="234"/>
      <c r="GR15" s="234"/>
      <c r="GS15" s="234"/>
      <c r="GT15" s="234"/>
      <c r="GU15" s="234"/>
      <c r="GV15" s="234"/>
      <c r="GW15" s="234"/>
      <c r="GX15" s="234"/>
      <c r="GY15" s="234"/>
      <c r="GZ15" s="234"/>
      <c r="HA15" s="234"/>
      <c r="HB15" s="234"/>
      <c r="HC15" s="234"/>
      <c r="HD15" s="234"/>
      <c r="HE15" s="234"/>
      <c r="HF15" s="234"/>
      <c r="HG15" s="234"/>
      <c r="HH15" s="234"/>
      <c r="HI15" s="234"/>
      <c r="HJ15" s="234"/>
      <c r="HK15" s="234"/>
      <c r="HL15" s="234"/>
      <c r="HM15" s="234"/>
      <c r="HN15" s="234"/>
      <c r="HO15" s="234"/>
      <c r="HP15" s="234"/>
      <c r="HQ15" s="234"/>
      <c r="HR15" s="234"/>
      <c r="HS15" s="234"/>
      <c r="HT15" s="234"/>
      <c r="HU15" s="234"/>
      <c r="HV15" s="234"/>
      <c r="HW15" s="234"/>
      <c r="HX15" s="234"/>
      <c r="HY15" s="234"/>
      <c r="HZ15" s="234"/>
      <c r="IA15" s="234"/>
      <c r="IB15" s="234"/>
      <c r="IC15" s="234"/>
      <c r="ID15" s="234"/>
      <c r="IE15" s="234"/>
      <c r="IF15" s="234"/>
      <c r="IG15" s="234"/>
      <c r="IH15" s="234"/>
      <c r="II15" s="234"/>
      <c r="IJ15" s="234"/>
      <c r="IK15" s="234"/>
      <c r="IL15" s="234"/>
      <c r="IM15" s="234"/>
      <c r="IN15" s="234"/>
      <c r="IO15" s="234"/>
      <c r="IP15" s="234"/>
      <c r="IQ15" s="234"/>
      <c r="IR15" s="234"/>
      <c r="IS15" s="234"/>
      <c r="IT15" s="234"/>
      <c r="IU15" s="234"/>
      <c r="IV15" s="234"/>
    </row>
    <row r="16" s="147" customFormat="1" spans="1:256">
      <c r="A16" s="241"/>
      <c r="B16" s="241" t="s">
        <v>1335</v>
      </c>
      <c r="C16" s="243">
        <v>0.01</v>
      </c>
      <c r="D16" s="243">
        <v>3</v>
      </c>
      <c r="E16" s="243">
        <v>3.3</v>
      </c>
      <c r="F16" s="244">
        <f t="shared" si="5"/>
        <v>-0.051</v>
      </c>
      <c r="G16" s="243">
        <v>3.63</v>
      </c>
      <c r="H16" s="244">
        <f t="shared" si="6"/>
        <v>-0.0411</v>
      </c>
      <c r="I16" s="243">
        <v>3.46</v>
      </c>
      <c r="J16" s="244">
        <f t="shared" si="7"/>
        <v>-0.0462</v>
      </c>
      <c r="K16" s="243">
        <v>3.8</v>
      </c>
      <c r="L16" s="244">
        <f t="shared" si="8"/>
        <v>-0.036</v>
      </c>
      <c r="M16" s="243">
        <v>2.55</v>
      </c>
      <c r="N16" s="244">
        <f t="shared" si="9"/>
        <v>-0.0735</v>
      </c>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234"/>
      <c r="CD16" s="234"/>
      <c r="CE16" s="234"/>
      <c r="CF16" s="234"/>
      <c r="CG16" s="234"/>
      <c r="CH16" s="234"/>
      <c r="CI16" s="234"/>
      <c r="CJ16" s="234"/>
      <c r="CK16" s="234"/>
      <c r="CL16" s="234"/>
      <c r="CM16" s="234"/>
      <c r="CN16" s="234"/>
      <c r="CO16" s="234"/>
      <c r="CP16" s="234"/>
      <c r="CQ16" s="234"/>
      <c r="CR16" s="234"/>
      <c r="CS16" s="234"/>
      <c r="CT16" s="234"/>
      <c r="CU16" s="234"/>
      <c r="CV16" s="234"/>
      <c r="CW16" s="234"/>
      <c r="CX16" s="234"/>
      <c r="CY16" s="234"/>
      <c r="CZ16" s="234"/>
      <c r="DA16" s="234"/>
      <c r="DB16" s="234"/>
      <c r="DC16" s="234"/>
      <c r="DD16" s="234"/>
      <c r="DE16" s="234"/>
      <c r="DF16" s="234"/>
      <c r="DG16" s="234"/>
      <c r="DH16" s="234"/>
      <c r="DI16" s="234"/>
      <c r="DJ16" s="234"/>
      <c r="DK16" s="234"/>
      <c r="DL16" s="234"/>
      <c r="DM16" s="234"/>
      <c r="DN16" s="234"/>
      <c r="DO16" s="234"/>
      <c r="DP16" s="234"/>
      <c r="DQ16" s="234"/>
      <c r="DR16" s="234"/>
      <c r="DS16" s="234"/>
      <c r="DT16" s="234"/>
      <c r="DU16" s="234"/>
      <c r="DV16" s="234"/>
      <c r="DW16" s="234"/>
      <c r="DX16" s="234"/>
      <c r="DY16" s="234"/>
      <c r="DZ16" s="234"/>
      <c r="EA16" s="234"/>
      <c r="EB16" s="234"/>
      <c r="EC16" s="234"/>
      <c r="ED16" s="234"/>
      <c r="EE16" s="234"/>
      <c r="EF16" s="234"/>
      <c r="EG16" s="234"/>
      <c r="EH16" s="234"/>
      <c r="EI16" s="234"/>
      <c r="EJ16" s="234"/>
      <c r="EK16" s="234"/>
      <c r="EL16" s="234"/>
      <c r="EM16" s="234"/>
      <c r="EN16" s="234"/>
      <c r="EO16" s="234"/>
      <c r="EP16" s="234"/>
      <c r="EQ16" s="234"/>
      <c r="ER16" s="234"/>
      <c r="ES16" s="234"/>
      <c r="ET16" s="234"/>
      <c r="EU16" s="234"/>
      <c r="EV16" s="234"/>
      <c r="EW16" s="234"/>
      <c r="EX16" s="234"/>
      <c r="EY16" s="234"/>
      <c r="EZ16" s="234"/>
      <c r="FA16" s="234"/>
      <c r="FB16" s="234"/>
      <c r="FC16" s="234"/>
      <c r="FD16" s="234"/>
      <c r="FE16" s="234"/>
      <c r="FF16" s="234"/>
      <c r="FG16" s="234"/>
      <c r="FH16" s="234"/>
      <c r="FI16" s="234"/>
      <c r="FJ16" s="234"/>
      <c r="FK16" s="234"/>
      <c r="FL16" s="234"/>
      <c r="FM16" s="234"/>
      <c r="FN16" s="234"/>
      <c r="FO16" s="234"/>
      <c r="FP16" s="234"/>
      <c r="FQ16" s="234"/>
      <c r="FR16" s="234"/>
      <c r="FS16" s="234"/>
      <c r="FT16" s="234"/>
      <c r="FU16" s="234"/>
      <c r="FV16" s="234"/>
      <c r="FW16" s="234"/>
      <c r="FX16" s="234"/>
      <c r="FY16" s="234"/>
      <c r="FZ16" s="234"/>
      <c r="GA16" s="234"/>
      <c r="GB16" s="234"/>
      <c r="GC16" s="234"/>
      <c r="GD16" s="234"/>
      <c r="GE16" s="234"/>
      <c r="GF16" s="234"/>
      <c r="GG16" s="234"/>
      <c r="GH16" s="234"/>
      <c r="GI16" s="234"/>
      <c r="GJ16" s="234"/>
      <c r="GK16" s="234"/>
      <c r="GL16" s="234"/>
      <c r="GM16" s="234"/>
      <c r="GN16" s="234"/>
      <c r="GO16" s="234"/>
      <c r="GP16" s="234"/>
      <c r="GQ16" s="234"/>
      <c r="GR16" s="234"/>
      <c r="GS16" s="234"/>
      <c r="GT16" s="234"/>
      <c r="GU16" s="234"/>
      <c r="GV16" s="234"/>
      <c r="GW16" s="234"/>
      <c r="GX16" s="234"/>
      <c r="GY16" s="234"/>
      <c r="GZ16" s="234"/>
      <c r="HA16" s="234"/>
      <c r="HB16" s="234"/>
      <c r="HC16" s="234"/>
      <c r="HD16" s="234"/>
      <c r="HE16" s="234"/>
      <c r="HF16" s="234"/>
      <c r="HG16" s="234"/>
      <c r="HH16" s="234"/>
      <c r="HI16" s="234"/>
      <c r="HJ16" s="234"/>
      <c r="HK16" s="234"/>
      <c r="HL16" s="234"/>
      <c r="HM16" s="234"/>
      <c r="HN16" s="234"/>
      <c r="HO16" s="234"/>
      <c r="HP16" s="234"/>
      <c r="HQ16" s="234"/>
      <c r="HR16" s="234"/>
      <c r="HS16" s="234"/>
      <c r="HT16" s="234"/>
      <c r="HU16" s="234"/>
      <c r="HV16" s="234"/>
      <c r="HW16" s="234"/>
      <c r="HX16" s="234"/>
      <c r="HY16" s="234"/>
      <c r="HZ16" s="234"/>
      <c r="IA16" s="234"/>
      <c r="IB16" s="234"/>
      <c r="IC16" s="234"/>
      <c r="ID16" s="234"/>
      <c r="IE16" s="234"/>
      <c r="IF16" s="234"/>
      <c r="IG16" s="234"/>
      <c r="IH16" s="234"/>
      <c r="II16" s="234"/>
      <c r="IJ16" s="234"/>
      <c r="IK16" s="234"/>
      <c r="IL16" s="234"/>
      <c r="IM16" s="234"/>
      <c r="IN16" s="234"/>
      <c r="IO16" s="234"/>
      <c r="IP16" s="234"/>
      <c r="IQ16" s="234"/>
      <c r="IR16" s="234"/>
      <c r="IS16" s="234"/>
      <c r="IT16" s="234"/>
      <c r="IU16" s="234"/>
      <c r="IV16" s="234"/>
    </row>
    <row r="17" s="147" customFormat="1" spans="1:256">
      <c r="A17" s="241" t="s">
        <v>1336</v>
      </c>
      <c r="B17" s="241" t="s">
        <v>1337</v>
      </c>
      <c r="C17" s="243">
        <v>0.21</v>
      </c>
      <c r="D17" s="243">
        <v>3</v>
      </c>
      <c r="E17" s="243">
        <v>3.4</v>
      </c>
      <c r="F17" s="244">
        <f t="shared" ref="F17:F23" si="10">C17*D17*E17</f>
        <v>2.142</v>
      </c>
      <c r="G17" s="243">
        <v>3.74</v>
      </c>
      <c r="H17" s="244">
        <f t="shared" ref="H17:H23" si="11">C17*D17*G17</f>
        <v>2.3562</v>
      </c>
      <c r="I17" s="243">
        <v>3.56</v>
      </c>
      <c r="J17" s="244">
        <f t="shared" ref="J17:J23" si="12">C17*D17*I17</f>
        <v>2.2428</v>
      </c>
      <c r="K17" s="243">
        <v>3.91</v>
      </c>
      <c r="L17" s="244">
        <f t="shared" ref="L17:L23" si="13">C17*D17*K17</f>
        <v>2.4633</v>
      </c>
      <c r="M17" s="243">
        <v>3.21</v>
      </c>
      <c r="N17" s="244">
        <f t="shared" ref="N17:N23" si="14">C17*D17*M17</f>
        <v>2.0223</v>
      </c>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34"/>
      <c r="BL17" s="234"/>
      <c r="BM17" s="234"/>
      <c r="BN17" s="234"/>
      <c r="BO17" s="234"/>
      <c r="BP17" s="234"/>
      <c r="BQ17" s="234"/>
      <c r="BR17" s="234"/>
      <c r="BS17" s="234"/>
      <c r="BT17" s="234"/>
      <c r="BU17" s="234"/>
      <c r="BV17" s="234"/>
      <c r="BW17" s="234"/>
      <c r="BX17" s="234"/>
      <c r="BY17" s="234"/>
      <c r="BZ17" s="234"/>
      <c r="CA17" s="234"/>
      <c r="CB17" s="234"/>
      <c r="CC17" s="234"/>
      <c r="CD17" s="234"/>
      <c r="CE17" s="234"/>
      <c r="CF17" s="234"/>
      <c r="CG17" s="234"/>
      <c r="CH17" s="234"/>
      <c r="CI17" s="234"/>
      <c r="CJ17" s="234"/>
      <c r="CK17" s="234"/>
      <c r="CL17" s="234"/>
      <c r="CM17" s="234"/>
      <c r="CN17" s="234"/>
      <c r="CO17" s="234"/>
      <c r="CP17" s="234"/>
      <c r="CQ17" s="234"/>
      <c r="CR17" s="234"/>
      <c r="CS17" s="234"/>
      <c r="CT17" s="234"/>
      <c r="CU17" s="234"/>
      <c r="CV17" s="234"/>
      <c r="CW17" s="234"/>
      <c r="CX17" s="234"/>
      <c r="CY17" s="234"/>
      <c r="CZ17" s="234"/>
      <c r="DA17" s="234"/>
      <c r="DB17" s="234"/>
      <c r="DC17" s="234"/>
      <c r="DD17" s="234"/>
      <c r="DE17" s="234"/>
      <c r="DF17" s="234"/>
      <c r="DG17" s="234"/>
      <c r="DH17" s="234"/>
      <c r="DI17" s="234"/>
      <c r="DJ17" s="234"/>
      <c r="DK17" s="234"/>
      <c r="DL17" s="234"/>
      <c r="DM17" s="234"/>
      <c r="DN17" s="234"/>
      <c r="DO17" s="234"/>
      <c r="DP17" s="234"/>
      <c r="DQ17" s="234"/>
      <c r="DR17" s="234"/>
      <c r="DS17" s="234"/>
      <c r="DT17" s="234"/>
      <c r="DU17" s="234"/>
      <c r="DV17" s="234"/>
      <c r="DW17" s="234"/>
      <c r="DX17" s="234"/>
      <c r="DY17" s="234"/>
      <c r="DZ17" s="234"/>
      <c r="EA17" s="234"/>
      <c r="EB17" s="234"/>
      <c r="EC17" s="234"/>
      <c r="ED17" s="234"/>
      <c r="EE17" s="234"/>
      <c r="EF17" s="234"/>
      <c r="EG17" s="234"/>
      <c r="EH17" s="234"/>
      <c r="EI17" s="234"/>
      <c r="EJ17" s="234"/>
      <c r="EK17" s="234"/>
      <c r="EL17" s="234"/>
      <c r="EM17" s="234"/>
      <c r="EN17" s="234"/>
      <c r="EO17" s="234"/>
      <c r="EP17" s="234"/>
      <c r="EQ17" s="234"/>
      <c r="ER17" s="234"/>
      <c r="ES17" s="234"/>
      <c r="ET17" s="234"/>
      <c r="EU17" s="234"/>
      <c r="EV17" s="234"/>
      <c r="EW17" s="234"/>
      <c r="EX17" s="234"/>
      <c r="EY17" s="234"/>
      <c r="EZ17" s="234"/>
      <c r="FA17" s="234"/>
      <c r="FB17" s="234"/>
      <c r="FC17" s="234"/>
      <c r="FD17" s="234"/>
      <c r="FE17" s="234"/>
      <c r="FF17" s="234"/>
      <c r="FG17" s="234"/>
      <c r="FH17" s="234"/>
      <c r="FI17" s="234"/>
      <c r="FJ17" s="234"/>
      <c r="FK17" s="234"/>
      <c r="FL17" s="234"/>
      <c r="FM17" s="234"/>
      <c r="FN17" s="234"/>
      <c r="FO17" s="234"/>
      <c r="FP17" s="234"/>
      <c r="FQ17" s="234"/>
      <c r="FR17" s="234"/>
      <c r="FS17" s="234"/>
      <c r="FT17" s="234"/>
      <c r="FU17" s="234"/>
      <c r="FV17" s="234"/>
      <c r="FW17" s="234"/>
      <c r="FX17" s="234"/>
      <c r="FY17" s="234"/>
      <c r="FZ17" s="234"/>
      <c r="GA17" s="234"/>
      <c r="GB17" s="234"/>
      <c r="GC17" s="234"/>
      <c r="GD17" s="234"/>
      <c r="GE17" s="234"/>
      <c r="GF17" s="234"/>
      <c r="GG17" s="234"/>
      <c r="GH17" s="234"/>
      <c r="GI17" s="234"/>
      <c r="GJ17" s="234"/>
      <c r="GK17" s="234"/>
      <c r="GL17" s="234"/>
      <c r="GM17" s="234"/>
      <c r="GN17" s="234"/>
      <c r="GO17" s="234"/>
      <c r="GP17" s="234"/>
      <c r="GQ17" s="234"/>
      <c r="GR17" s="234"/>
      <c r="GS17" s="234"/>
      <c r="GT17" s="234"/>
      <c r="GU17" s="234"/>
      <c r="GV17" s="234"/>
      <c r="GW17" s="234"/>
      <c r="GX17" s="234"/>
      <c r="GY17" s="234"/>
      <c r="GZ17" s="234"/>
      <c r="HA17" s="234"/>
      <c r="HB17" s="234"/>
      <c r="HC17" s="234"/>
      <c r="HD17" s="234"/>
      <c r="HE17" s="234"/>
      <c r="HF17" s="234"/>
      <c r="HG17" s="234"/>
      <c r="HH17" s="234"/>
      <c r="HI17" s="234"/>
      <c r="HJ17" s="234"/>
      <c r="HK17" s="234"/>
      <c r="HL17" s="234"/>
      <c r="HM17" s="234"/>
      <c r="HN17" s="234"/>
      <c r="HO17" s="234"/>
      <c r="HP17" s="234"/>
      <c r="HQ17" s="234"/>
      <c r="HR17" s="234"/>
      <c r="HS17" s="234"/>
      <c r="HT17" s="234"/>
      <c r="HU17" s="234"/>
      <c r="HV17" s="234"/>
      <c r="HW17" s="234"/>
      <c r="HX17" s="234"/>
      <c r="HY17" s="234"/>
      <c r="HZ17" s="234"/>
      <c r="IA17" s="234"/>
      <c r="IB17" s="234"/>
      <c r="IC17" s="234"/>
      <c r="ID17" s="234"/>
      <c r="IE17" s="234"/>
      <c r="IF17" s="234"/>
      <c r="IG17" s="234"/>
      <c r="IH17" s="234"/>
      <c r="II17" s="234"/>
      <c r="IJ17" s="234"/>
      <c r="IK17" s="234"/>
      <c r="IL17" s="234"/>
      <c r="IM17" s="234"/>
      <c r="IN17" s="234"/>
      <c r="IO17" s="234"/>
      <c r="IP17" s="234"/>
      <c r="IQ17" s="234"/>
      <c r="IR17" s="234"/>
      <c r="IS17" s="234"/>
      <c r="IT17" s="234"/>
      <c r="IU17" s="234"/>
      <c r="IV17" s="234"/>
    </row>
    <row r="18" s="147" customFormat="1" spans="1:256">
      <c r="A18" s="241"/>
      <c r="B18" s="241" t="s">
        <v>1338</v>
      </c>
      <c r="C18" s="243">
        <v>0.12</v>
      </c>
      <c r="D18" s="243">
        <v>2.2</v>
      </c>
      <c r="E18" s="243">
        <v>2.4</v>
      </c>
      <c r="F18" s="244">
        <f t="shared" si="10"/>
        <v>0.6336</v>
      </c>
      <c r="G18" s="243">
        <v>2.64</v>
      </c>
      <c r="H18" s="244">
        <f t="shared" si="11"/>
        <v>0.69696</v>
      </c>
      <c r="I18" s="243">
        <v>2.51</v>
      </c>
      <c r="J18" s="244">
        <f t="shared" si="12"/>
        <v>0.66264</v>
      </c>
      <c r="K18" s="243">
        <v>2.76</v>
      </c>
      <c r="L18" s="244">
        <f t="shared" si="13"/>
        <v>0.72864</v>
      </c>
      <c r="M18" s="243">
        <v>2.26</v>
      </c>
      <c r="N18" s="244">
        <f t="shared" si="14"/>
        <v>0.59664</v>
      </c>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34"/>
      <c r="BL18" s="234"/>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4"/>
      <c r="CL18" s="234"/>
      <c r="CM18" s="234"/>
      <c r="CN18" s="234"/>
      <c r="CO18" s="234"/>
      <c r="CP18" s="234"/>
      <c r="CQ18" s="234"/>
      <c r="CR18" s="234"/>
      <c r="CS18" s="234"/>
      <c r="CT18" s="234"/>
      <c r="CU18" s="234"/>
      <c r="CV18" s="234"/>
      <c r="CW18" s="234"/>
      <c r="CX18" s="234"/>
      <c r="CY18" s="234"/>
      <c r="CZ18" s="234"/>
      <c r="DA18" s="234"/>
      <c r="DB18" s="234"/>
      <c r="DC18" s="234"/>
      <c r="DD18" s="234"/>
      <c r="DE18" s="234"/>
      <c r="DF18" s="234"/>
      <c r="DG18" s="234"/>
      <c r="DH18" s="234"/>
      <c r="DI18" s="234"/>
      <c r="DJ18" s="234"/>
      <c r="DK18" s="234"/>
      <c r="DL18" s="234"/>
      <c r="DM18" s="234"/>
      <c r="DN18" s="234"/>
      <c r="DO18" s="234"/>
      <c r="DP18" s="234"/>
      <c r="DQ18" s="234"/>
      <c r="DR18" s="234"/>
      <c r="DS18" s="234"/>
      <c r="DT18" s="234"/>
      <c r="DU18" s="234"/>
      <c r="DV18" s="234"/>
      <c r="DW18" s="234"/>
      <c r="DX18" s="234"/>
      <c r="DY18" s="234"/>
      <c r="DZ18" s="234"/>
      <c r="EA18" s="234"/>
      <c r="EB18" s="234"/>
      <c r="EC18" s="234"/>
      <c r="ED18" s="234"/>
      <c r="EE18" s="234"/>
      <c r="EF18" s="234"/>
      <c r="EG18" s="234"/>
      <c r="EH18" s="234"/>
      <c r="EI18" s="234"/>
      <c r="EJ18" s="234"/>
      <c r="EK18" s="234"/>
      <c r="EL18" s="234"/>
      <c r="EM18" s="234"/>
      <c r="EN18" s="234"/>
      <c r="EO18" s="234"/>
      <c r="EP18" s="234"/>
      <c r="EQ18" s="234"/>
      <c r="ER18" s="234"/>
      <c r="ES18" s="234"/>
      <c r="ET18" s="234"/>
      <c r="EU18" s="234"/>
      <c r="EV18" s="234"/>
      <c r="EW18" s="234"/>
      <c r="EX18" s="234"/>
      <c r="EY18" s="234"/>
      <c r="EZ18" s="234"/>
      <c r="FA18" s="234"/>
      <c r="FB18" s="234"/>
      <c r="FC18" s="234"/>
      <c r="FD18" s="234"/>
      <c r="FE18" s="234"/>
      <c r="FF18" s="234"/>
      <c r="FG18" s="234"/>
      <c r="FH18" s="234"/>
      <c r="FI18" s="234"/>
      <c r="FJ18" s="234"/>
      <c r="FK18" s="234"/>
      <c r="FL18" s="234"/>
      <c r="FM18" s="234"/>
      <c r="FN18" s="234"/>
      <c r="FO18" s="234"/>
      <c r="FP18" s="234"/>
      <c r="FQ18" s="234"/>
      <c r="FR18" s="234"/>
      <c r="FS18" s="234"/>
      <c r="FT18" s="234"/>
      <c r="FU18" s="234"/>
      <c r="FV18" s="234"/>
      <c r="FW18" s="234"/>
      <c r="FX18" s="234"/>
      <c r="FY18" s="234"/>
      <c r="FZ18" s="234"/>
      <c r="GA18" s="234"/>
      <c r="GB18" s="234"/>
      <c r="GC18" s="234"/>
      <c r="GD18" s="234"/>
      <c r="GE18" s="234"/>
      <c r="GF18" s="234"/>
      <c r="GG18" s="234"/>
      <c r="GH18" s="234"/>
      <c r="GI18" s="234"/>
      <c r="GJ18" s="234"/>
      <c r="GK18" s="234"/>
      <c r="GL18" s="234"/>
      <c r="GM18" s="234"/>
      <c r="GN18" s="234"/>
      <c r="GO18" s="234"/>
      <c r="GP18" s="234"/>
      <c r="GQ18" s="234"/>
      <c r="GR18" s="234"/>
      <c r="GS18" s="234"/>
      <c r="GT18" s="234"/>
      <c r="GU18" s="234"/>
      <c r="GV18" s="234"/>
      <c r="GW18" s="234"/>
      <c r="GX18" s="234"/>
      <c r="GY18" s="234"/>
      <c r="GZ18" s="234"/>
      <c r="HA18" s="234"/>
      <c r="HB18" s="234"/>
      <c r="HC18" s="234"/>
      <c r="HD18" s="234"/>
      <c r="HE18" s="234"/>
      <c r="HF18" s="234"/>
      <c r="HG18" s="234"/>
      <c r="HH18" s="234"/>
      <c r="HI18" s="234"/>
      <c r="HJ18" s="234"/>
      <c r="HK18" s="234"/>
      <c r="HL18" s="234"/>
      <c r="HM18" s="234"/>
      <c r="HN18" s="234"/>
      <c r="HO18" s="234"/>
      <c r="HP18" s="234"/>
      <c r="HQ18" s="234"/>
      <c r="HR18" s="234"/>
      <c r="HS18" s="234"/>
      <c r="HT18" s="234"/>
      <c r="HU18" s="234"/>
      <c r="HV18" s="234"/>
      <c r="HW18" s="234"/>
      <c r="HX18" s="234"/>
      <c r="HY18" s="234"/>
      <c r="HZ18" s="234"/>
      <c r="IA18" s="234"/>
      <c r="IB18" s="234"/>
      <c r="IC18" s="234"/>
      <c r="ID18" s="234"/>
      <c r="IE18" s="234"/>
      <c r="IF18" s="234"/>
      <c r="IG18" s="234"/>
      <c r="IH18" s="234"/>
      <c r="II18" s="234"/>
      <c r="IJ18" s="234"/>
      <c r="IK18" s="234"/>
      <c r="IL18" s="234"/>
      <c r="IM18" s="234"/>
      <c r="IN18" s="234"/>
      <c r="IO18" s="234"/>
      <c r="IP18" s="234"/>
      <c r="IQ18" s="234"/>
      <c r="IR18" s="234"/>
      <c r="IS18" s="234"/>
      <c r="IT18" s="234"/>
      <c r="IU18" s="234"/>
      <c r="IV18" s="234"/>
    </row>
    <row r="19" s="147" customFormat="1" spans="1:256">
      <c r="A19" s="241"/>
      <c r="B19" s="241" t="s">
        <v>1339</v>
      </c>
      <c r="C19" s="243">
        <v>0.11</v>
      </c>
      <c r="D19" s="243">
        <v>1.08</v>
      </c>
      <c r="E19" s="243">
        <v>2.6</v>
      </c>
      <c r="F19" s="244">
        <f t="shared" si="10"/>
        <v>0.30888</v>
      </c>
      <c r="G19" s="243">
        <v>2.86</v>
      </c>
      <c r="H19" s="244">
        <f t="shared" si="11"/>
        <v>0.339768</v>
      </c>
      <c r="I19" s="243">
        <v>2.72</v>
      </c>
      <c r="J19" s="244">
        <f t="shared" si="12"/>
        <v>0.323136</v>
      </c>
      <c r="K19" s="243">
        <v>2.99</v>
      </c>
      <c r="L19" s="244">
        <f t="shared" si="13"/>
        <v>0.355212</v>
      </c>
      <c r="M19" s="243">
        <v>2.45</v>
      </c>
      <c r="N19" s="244">
        <f t="shared" si="14"/>
        <v>0.29106</v>
      </c>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4"/>
      <c r="CL19" s="234"/>
      <c r="CM19" s="234"/>
      <c r="CN19" s="234"/>
      <c r="CO19" s="234"/>
      <c r="CP19" s="234"/>
      <c r="CQ19" s="234"/>
      <c r="CR19" s="234"/>
      <c r="CS19" s="234"/>
      <c r="CT19" s="234"/>
      <c r="CU19" s="234"/>
      <c r="CV19" s="234"/>
      <c r="CW19" s="234"/>
      <c r="CX19" s="234"/>
      <c r="CY19" s="234"/>
      <c r="CZ19" s="234"/>
      <c r="DA19" s="234"/>
      <c r="DB19" s="234"/>
      <c r="DC19" s="234"/>
      <c r="DD19" s="234"/>
      <c r="DE19" s="234"/>
      <c r="DF19" s="234"/>
      <c r="DG19" s="234"/>
      <c r="DH19" s="234"/>
      <c r="DI19" s="234"/>
      <c r="DJ19" s="234"/>
      <c r="DK19" s="234"/>
      <c r="DL19" s="234"/>
      <c r="DM19" s="234"/>
      <c r="DN19" s="234"/>
      <c r="DO19" s="234"/>
      <c r="DP19" s="234"/>
      <c r="DQ19" s="234"/>
      <c r="DR19" s="234"/>
      <c r="DS19" s="234"/>
      <c r="DT19" s="234"/>
      <c r="DU19" s="234"/>
      <c r="DV19" s="234"/>
      <c r="DW19" s="234"/>
      <c r="DX19" s="234"/>
      <c r="DY19" s="234"/>
      <c r="DZ19" s="234"/>
      <c r="EA19" s="234"/>
      <c r="EB19" s="234"/>
      <c r="EC19" s="234"/>
      <c r="ED19" s="234"/>
      <c r="EE19" s="234"/>
      <c r="EF19" s="234"/>
      <c r="EG19" s="234"/>
      <c r="EH19" s="234"/>
      <c r="EI19" s="234"/>
      <c r="EJ19" s="234"/>
      <c r="EK19" s="234"/>
      <c r="EL19" s="234"/>
      <c r="EM19" s="234"/>
      <c r="EN19" s="234"/>
      <c r="EO19" s="234"/>
      <c r="EP19" s="234"/>
      <c r="EQ19" s="234"/>
      <c r="ER19" s="234"/>
      <c r="ES19" s="234"/>
      <c r="ET19" s="234"/>
      <c r="EU19" s="234"/>
      <c r="EV19" s="234"/>
      <c r="EW19" s="234"/>
      <c r="EX19" s="234"/>
      <c r="EY19" s="234"/>
      <c r="EZ19" s="234"/>
      <c r="FA19" s="234"/>
      <c r="FB19" s="234"/>
      <c r="FC19" s="234"/>
      <c r="FD19" s="234"/>
      <c r="FE19" s="234"/>
      <c r="FF19" s="234"/>
      <c r="FG19" s="234"/>
      <c r="FH19" s="234"/>
      <c r="FI19" s="234"/>
      <c r="FJ19" s="234"/>
      <c r="FK19" s="234"/>
      <c r="FL19" s="234"/>
      <c r="FM19" s="234"/>
      <c r="FN19" s="234"/>
      <c r="FO19" s="234"/>
      <c r="FP19" s="234"/>
      <c r="FQ19" s="234"/>
      <c r="FR19" s="234"/>
      <c r="FS19" s="234"/>
      <c r="FT19" s="234"/>
      <c r="FU19" s="234"/>
      <c r="FV19" s="234"/>
      <c r="FW19" s="234"/>
      <c r="FX19" s="234"/>
      <c r="FY19" s="234"/>
      <c r="FZ19" s="234"/>
      <c r="GA19" s="234"/>
      <c r="GB19" s="234"/>
      <c r="GC19" s="234"/>
      <c r="GD19" s="234"/>
      <c r="GE19" s="234"/>
      <c r="GF19" s="234"/>
      <c r="GG19" s="234"/>
      <c r="GH19" s="234"/>
      <c r="GI19" s="234"/>
      <c r="GJ19" s="234"/>
      <c r="GK19" s="234"/>
      <c r="GL19" s="234"/>
      <c r="GM19" s="234"/>
      <c r="GN19" s="234"/>
      <c r="GO19" s="234"/>
      <c r="GP19" s="234"/>
      <c r="GQ19" s="234"/>
      <c r="GR19" s="234"/>
      <c r="GS19" s="234"/>
      <c r="GT19" s="234"/>
      <c r="GU19" s="234"/>
      <c r="GV19" s="234"/>
      <c r="GW19" s="234"/>
      <c r="GX19" s="234"/>
      <c r="GY19" s="234"/>
      <c r="GZ19" s="234"/>
      <c r="HA19" s="234"/>
      <c r="HB19" s="234"/>
      <c r="HC19" s="234"/>
      <c r="HD19" s="234"/>
      <c r="HE19" s="234"/>
      <c r="HF19" s="234"/>
      <c r="HG19" s="234"/>
      <c r="HH19" s="234"/>
      <c r="HI19" s="234"/>
      <c r="HJ19" s="234"/>
      <c r="HK19" s="234"/>
      <c r="HL19" s="234"/>
      <c r="HM19" s="234"/>
      <c r="HN19" s="234"/>
      <c r="HO19" s="234"/>
      <c r="HP19" s="234"/>
      <c r="HQ19" s="234"/>
      <c r="HR19" s="234"/>
      <c r="HS19" s="234"/>
      <c r="HT19" s="234"/>
      <c r="HU19" s="234"/>
      <c r="HV19" s="234"/>
      <c r="HW19" s="234"/>
      <c r="HX19" s="234"/>
      <c r="HY19" s="234"/>
      <c r="HZ19" s="234"/>
      <c r="IA19" s="234"/>
      <c r="IB19" s="234"/>
      <c r="IC19" s="234"/>
      <c r="ID19" s="234"/>
      <c r="IE19" s="234"/>
      <c r="IF19" s="234"/>
      <c r="IG19" s="234"/>
      <c r="IH19" s="234"/>
      <c r="II19" s="234"/>
      <c r="IJ19" s="234"/>
      <c r="IK19" s="234"/>
      <c r="IL19" s="234"/>
      <c r="IM19" s="234"/>
      <c r="IN19" s="234"/>
      <c r="IO19" s="234"/>
      <c r="IP19" s="234"/>
      <c r="IQ19" s="234"/>
      <c r="IR19" s="234"/>
      <c r="IS19" s="234"/>
      <c r="IT19" s="234"/>
      <c r="IU19" s="234"/>
      <c r="IV19" s="234"/>
    </row>
    <row r="20" s="147" customFormat="1" spans="1:256">
      <c r="A20" s="241"/>
      <c r="B20" s="241" t="s">
        <v>1340</v>
      </c>
      <c r="C20" s="243">
        <v>0.09</v>
      </c>
      <c r="D20" s="243">
        <v>3.5</v>
      </c>
      <c r="E20" s="243">
        <v>1.8</v>
      </c>
      <c r="F20" s="244">
        <f t="shared" si="10"/>
        <v>0.567</v>
      </c>
      <c r="G20" s="243">
        <v>1.98</v>
      </c>
      <c r="H20" s="244">
        <f t="shared" si="11"/>
        <v>0.6237</v>
      </c>
      <c r="I20" s="243">
        <v>1.89</v>
      </c>
      <c r="J20" s="244">
        <f t="shared" si="12"/>
        <v>0.59535</v>
      </c>
      <c r="K20" s="243">
        <v>2.07</v>
      </c>
      <c r="L20" s="244">
        <f t="shared" si="13"/>
        <v>0.65205</v>
      </c>
      <c r="M20" s="243">
        <v>1.7</v>
      </c>
      <c r="N20" s="244">
        <f t="shared" si="14"/>
        <v>0.5355</v>
      </c>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34"/>
      <c r="BL20" s="234"/>
      <c r="BM20" s="234"/>
      <c r="BN20" s="234"/>
      <c r="BO20" s="234"/>
      <c r="BP20" s="234"/>
      <c r="BQ20" s="234"/>
      <c r="BR20" s="234"/>
      <c r="BS20" s="234"/>
      <c r="BT20" s="234"/>
      <c r="BU20" s="234"/>
      <c r="BV20" s="234"/>
      <c r="BW20" s="234"/>
      <c r="BX20" s="234"/>
      <c r="BY20" s="234"/>
      <c r="BZ20" s="234"/>
      <c r="CA20" s="234"/>
      <c r="CB20" s="234"/>
      <c r="CC20" s="234"/>
      <c r="CD20" s="234"/>
      <c r="CE20" s="234"/>
      <c r="CF20" s="234"/>
      <c r="CG20" s="234"/>
      <c r="CH20" s="234"/>
      <c r="CI20" s="234"/>
      <c r="CJ20" s="234"/>
      <c r="CK20" s="234"/>
      <c r="CL20" s="234"/>
      <c r="CM20" s="234"/>
      <c r="CN20" s="234"/>
      <c r="CO20" s="234"/>
      <c r="CP20" s="234"/>
      <c r="CQ20" s="234"/>
      <c r="CR20" s="234"/>
      <c r="CS20" s="234"/>
      <c r="CT20" s="234"/>
      <c r="CU20" s="234"/>
      <c r="CV20" s="234"/>
      <c r="CW20" s="234"/>
      <c r="CX20" s="234"/>
      <c r="CY20" s="234"/>
      <c r="CZ20" s="234"/>
      <c r="DA20" s="234"/>
      <c r="DB20" s="234"/>
      <c r="DC20" s="234"/>
      <c r="DD20" s="234"/>
      <c r="DE20" s="234"/>
      <c r="DF20" s="234"/>
      <c r="DG20" s="234"/>
      <c r="DH20" s="234"/>
      <c r="DI20" s="234"/>
      <c r="DJ20" s="234"/>
      <c r="DK20" s="234"/>
      <c r="DL20" s="234"/>
      <c r="DM20" s="234"/>
      <c r="DN20" s="234"/>
      <c r="DO20" s="234"/>
      <c r="DP20" s="234"/>
      <c r="DQ20" s="234"/>
      <c r="DR20" s="234"/>
      <c r="DS20" s="234"/>
      <c r="DT20" s="234"/>
      <c r="DU20" s="234"/>
      <c r="DV20" s="234"/>
      <c r="DW20" s="234"/>
      <c r="DX20" s="234"/>
      <c r="DY20" s="234"/>
      <c r="DZ20" s="234"/>
      <c r="EA20" s="234"/>
      <c r="EB20" s="234"/>
      <c r="EC20" s="234"/>
      <c r="ED20" s="234"/>
      <c r="EE20" s="234"/>
      <c r="EF20" s="234"/>
      <c r="EG20" s="234"/>
      <c r="EH20" s="234"/>
      <c r="EI20" s="234"/>
      <c r="EJ20" s="234"/>
      <c r="EK20" s="234"/>
      <c r="EL20" s="234"/>
      <c r="EM20" s="234"/>
      <c r="EN20" s="234"/>
      <c r="EO20" s="234"/>
      <c r="EP20" s="234"/>
      <c r="EQ20" s="234"/>
      <c r="ER20" s="234"/>
      <c r="ES20" s="234"/>
      <c r="ET20" s="234"/>
      <c r="EU20" s="234"/>
      <c r="EV20" s="234"/>
      <c r="EW20" s="234"/>
      <c r="EX20" s="234"/>
      <c r="EY20" s="234"/>
      <c r="EZ20" s="234"/>
      <c r="FA20" s="234"/>
      <c r="FB20" s="234"/>
      <c r="FC20" s="234"/>
      <c r="FD20" s="234"/>
      <c r="FE20" s="234"/>
      <c r="FF20" s="234"/>
      <c r="FG20" s="234"/>
      <c r="FH20" s="234"/>
      <c r="FI20" s="234"/>
      <c r="FJ20" s="234"/>
      <c r="FK20" s="234"/>
      <c r="FL20" s="234"/>
      <c r="FM20" s="234"/>
      <c r="FN20" s="234"/>
      <c r="FO20" s="234"/>
      <c r="FP20" s="234"/>
      <c r="FQ20" s="234"/>
      <c r="FR20" s="234"/>
      <c r="FS20" s="234"/>
      <c r="FT20" s="234"/>
      <c r="FU20" s="234"/>
      <c r="FV20" s="234"/>
      <c r="FW20" s="234"/>
      <c r="FX20" s="234"/>
      <c r="FY20" s="234"/>
      <c r="FZ20" s="234"/>
      <c r="GA20" s="234"/>
      <c r="GB20" s="234"/>
      <c r="GC20" s="234"/>
      <c r="GD20" s="234"/>
      <c r="GE20" s="234"/>
      <c r="GF20" s="234"/>
      <c r="GG20" s="234"/>
      <c r="GH20" s="234"/>
      <c r="GI20" s="234"/>
      <c r="GJ20" s="234"/>
      <c r="GK20" s="234"/>
      <c r="GL20" s="234"/>
      <c r="GM20" s="234"/>
      <c r="GN20" s="234"/>
      <c r="GO20" s="234"/>
      <c r="GP20" s="234"/>
      <c r="GQ20" s="234"/>
      <c r="GR20" s="234"/>
      <c r="GS20" s="234"/>
      <c r="GT20" s="234"/>
      <c r="GU20" s="234"/>
      <c r="GV20" s="234"/>
      <c r="GW20" s="234"/>
      <c r="GX20" s="234"/>
      <c r="GY20" s="234"/>
      <c r="GZ20" s="234"/>
      <c r="HA20" s="234"/>
      <c r="HB20" s="234"/>
      <c r="HC20" s="234"/>
      <c r="HD20" s="234"/>
      <c r="HE20" s="234"/>
      <c r="HF20" s="234"/>
      <c r="HG20" s="234"/>
      <c r="HH20" s="234"/>
      <c r="HI20" s="234"/>
      <c r="HJ20" s="234"/>
      <c r="HK20" s="234"/>
      <c r="HL20" s="234"/>
      <c r="HM20" s="234"/>
      <c r="HN20" s="234"/>
      <c r="HO20" s="234"/>
      <c r="HP20" s="234"/>
      <c r="HQ20" s="234"/>
      <c r="HR20" s="234"/>
      <c r="HS20" s="234"/>
      <c r="HT20" s="234"/>
      <c r="HU20" s="234"/>
      <c r="HV20" s="234"/>
      <c r="HW20" s="234"/>
      <c r="HX20" s="234"/>
      <c r="HY20" s="234"/>
      <c r="HZ20" s="234"/>
      <c r="IA20" s="234"/>
      <c r="IB20" s="234"/>
      <c r="IC20" s="234"/>
      <c r="ID20" s="234"/>
      <c r="IE20" s="234"/>
      <c r="IF20" s="234"/>
      <c r="IG20" s="234"/>
      <c r="IH20" s="234"/>
      <c r="II20" s="234"/>
      <c r="IJ20" s="234"/>
      <c r="IK20" s="234"/>
      <c r="IL20" s="234"/>
      <c r="IM20" s="234"/>
      <c r="IN20" s="234"/>
      <c r="IO20" s="234"/>
      <c r="IP20" s="234"/>
      <c r="IQ20" s="234"/>
      <c r="IR20" s="234"/>
      <c r="IS20" s="234"/>
      <c r="IT20" s="234"/>
      <c r="IU20" s="234"/>
      <c r="IV20" s="234"/>
    </row>
    <row r="21" s="147" customFormat="1" spans="1:256">
      <c r="A21" s="241"/>
      <c r="B21" s="241" t="s">
        <v>1341</v>
      </c>
      <c r="C21" s="243">
        <v>0.02</v>
      </c>
      <c r="D21" s="243">
        <v>2.8</v>
      </c>
      <c r="E21" s="243">
        <v>4.6</v>
      </c>
      <c r="F21" s="244">
        <f t="shared" si="10"/>
        <v>0.2576</v>
      </c>
      <c r="G21" s="243">
        <v>4.6</v>
      </c>
      <c r="H21" s="244">
        <f t="shared" si="11"/>
        <v>0.2576</v>
      </c>
      <c r="I21" s="243">
        <v>4.38</v>
      </c>
      <c r="J21" s="244">
        <f t="shared" si="12"/>
        <v>0.24528</v>
      </c>
      <c r="K21" s="243">
        <v>2.29</v>
      </c>
      <c r="L21" s="244">
        <f t="shared" si="13"/>
        <v>0.12824</v>
      </c>
      <c r="M21" s="243">
        <v>4.34</v>
      </c>
      <c r="N21" s="244">
        <f t="shared" si="14"/>
        <v>0.24304</v>
      </c>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34"/>
      <c r="BL21" s="234"/>
      <c r="BM21" s="234"/>
      <c r="BN21" s="234"/>
      <c r="BO21" s="234"/>
      <c r="BP21" s="234"/>
      <c r="BQ21" s="234"/>
      <c r="BR21" s="234"/>
      <c r="BS21" s="234"/>
      <c r="BT21" s="234"/>
      <c r="BU21" s="234"/>
      <c r="BV21" s="234"/>
      <c r="BW21" s="234"/>
      <c r="BX21" s="234"/>
      <c r="BY21" s="234"/>
      <c r="BZ21" s="234"/>
      <c r="CA21" s="234"/>
      <c r="CB21" s="234"/>
      <c r="CC21" s="234"/>
      <c r="CD21" s="234"/>
      <c r="CE21" s="234"/>
      <c r="CF21" s="234"/>
      <c r="CG21" s="234"/>
      <c r="CH21" s="234"/>
      <c r="CI21" s="234"/>
      <c r="CJ21" s="234"/>
      <c r="CK21" s="234"/>
      <c r="CL21" s="234"/>
      <c r="CM21" s="234"/>
      <c r="CN21" s="234"/>
      <c r="CO21" s="234"/>
      <c r="CP21" s="234"/>
      <c r="CQ21" s="234"/>
      <c r="CR21" s="234"/>
      <c r="CS21" s="234"/>
      <c r="CT21" s="234"/>
      <c r="CU21" s="234"/>
      <c r="CV21" s="234"/>
      <c r="CW21" s="234"/>
      <c r="CX21" s="234"/>
      <c r="CY21" s="234"/>
      <c r="CZ21" s="234"/>
      <c r="DA21" s="234"/>
      <c r="DB21" s="234"/>
      <c r="DC21" s="234"/>
      <c r="DD21" s="234"/>
      <c r="DE21" s="234"/>
      <c r="DF21" s="234"/>
      <c r="DG21" s="234"/>
      <c r="DH21" s="234"/>
      <c r="DI21" s="234"/>
      <c r="DJ21" s="234"/>
      <c r="DK21" s="234"/>
      <c r="DL21" s="234"/>
      <c r="DM21" s="234"/>
      <c r="DN21" s="234"/>
      <c r="DO21" s="234"/>
      <c r="DP21" s="234"/>
      <c r="DQ21" s="234"/>
      <c r="DR21" s="234"/>
      <c r="DS21" s="234"/>
      <c r="DT21" s="234"/>
      <c r="DU21" s="234"/>
      <c r="DV21" s="234"/>
      <c r="DW21" s="234"/>
      <c r="DX21" s="234"/>
      <c r="DY21" s="234"/>
      <c r="DZ21" s="234"/>
      <c r="EA21" s="234"/>
      <c r="EB21" s="234"/>
      <c r="EC21" s="234"/>
      <c r="ED21" s="234"/>
      <c r="EE21" s="234"/>
      <c r="EF21" s="234"/>
      <c r="EG21" s="234"/>
      <c r="EH21" s="234"/>
      <c r="EI21" s="234"/>
      <c r="EJ21" s="234"/>
      <c r="EK21" s="234"/>
      <c r="EL21" s="234"/>
      <c r="EM21" s="234"/>
      <c r="EN21" s="234"/>
      <c r="EO21" s="234"/>
      <c r="EP21" s="234"/>
      <c r="EQ21" s="234"/>
      <c r="ER21" s="234"/>
      <c r="ES21" s="234"/>
      <c r="ET21" s="234"/>
      <c r="EU21" s="234"/>
      <c r="EV21" s="234"/>
      <c r="EW21" s="234"/>
      <c r="EX21" s="234"/>
      <c r="EY21" s="234"/>
      <c r="EZ21" s="234"/>
      <c r="FA21" s="234"/>
      <c r="FB21" s="234"/>
      <c r="FC21" s="234"/>
      <c r="FD21" s="234"/>
      <c r="FE21" s="234"/>
      <c r="FF21" s="234"/>
      <c r="FG21" s="234"/>
      <c r="FH21" s="234"/>
      <c r="FI21" s="234"/>
      <c r="FJ21" s="234"/>
      <c r="FK21" s="234"/>
      <c r="FL21" s="234"/>
      <c r="FM21" s="234"/>
      <c r="FN21" s="234"/>
      <c r="FO21" s="234"/>
      <c r="FP21" s="234"/>
      <c r="FQ21" s="234"/>
      <c r="FR21" s="234"/>
      <c r="FS21" s="234"/>
      <c r="FT21" s="234"/>
      <c r="FU21" s="234"/>
      <c r="FV21" s="234"/>
      <c r="FW21" s="234"/>
      <c r="FX21" s="234"/>
      <c r="FY21" s="234"/>
      <c r="FZ21" s="234"/>
      <c r="GA21" s="234"/>
      <c r="GB21" s="234"/>
      <c r="GC21" s="234"/>
      <c r="GD21" s="234"/>
      <c r="GE21" s="234"/>
      <c r="GF21" s="234"/>
      <c r="GG21" s="234"/>
      <c r="GH21" s="234"/>
      <c r="GI21" s="234"/>
      <c r="GJ21" s="234"/>
      <c r="GK21" s="234"/>
      <c r="GL21" s="234"/>
      <c r="GM21" s="234"/>
      <c r="GN21" s="234"/>
      <c r="GO21" s="234"/>
      <c r="GP21" s="234"/>
      <c r="GQ21" s="234"/>
      <c r="GR21" s="234"/>
      <c r="GS21" s="234"/>
      <c r="GT21" s="234"/>
      <c r="GU21" s="234"/>
      <c r="GV21" s="234"/>
      <c r="GW21" s="234"/>
      <c r="GX21" s="234"/>
      <c r="GY21" s="234"/>
      <c r="GZ21" s="234"/>
      <c r="HA21" s="234"/>
      <c r="HB21" s="234"/>
      <c r="HC21" s="234"/>
      <c r="HD21" s="234"/>
      <c r="HE21" s="234"/>
      <c r="HF21" s="234"/>
      <c r="HG21" s="234"/>
      <c r="HH21" s="234"/>
      <c r="HI21" s="234"/>
      <c r="HJ21" s="234"/>
      <c r="HK21" s="234"/>
      <c r="HL21" s="234"/>
      <c r="HM21" s="234"/>
      <c r="HN21" s="234"/>
      <c r="HO21" s="234"/>
      <c r="HP21" s="234"/>
      <c r="HQ21" s="234"/>
      <c r="HR21" s="234"/>
      <c r="HS21" s="234"/>
      <c r="HT21" s="234"/>
      <c r="HU21" s="234"/>
      <c r="HV21" s="234"/>
      <c r="HW21" s="234"/>
      <c r="HX21" s="234"/>
      <c r="HY21" s="234"/>
      <c r="HZ21" s="234"/>
      <c r="IA21" s="234"/>
      <c r="IB21" s="234"/>
      <c r="IC21" s="234"/>
      <c r="ID21" s="234"/>
      <c r="IE21" s="234"/>
      <c r="IF21" s="234"/>
      <c r="IG21" s="234"/>
      <c r="IH21" s="234"/>
      <c r="II21" s="234"/>
      <c r="IJ21" s="234"/>
      <c r="IK21" s="234"/>
      <c r="IL21" s="234"/>
      <c r="IM21" s="234"/>
      <c r="IN21" s="234"/>
      <c r="IO21" s="234"/>
      <c r="IP21" s="234"/>
      <c r="IQ21" s="234"/>
      <c r="IR21" s="234"/>
      <c r="IS21" s="234"/>
      <c r="IT21" s="234"/>
      <c r="IU21" s="234"/>
      <c r="IV21" s="234"/>
    </row>
    <row r="22" s="147" customFormat="1" spans="1:256">
      <c r="A22" s="241"/>
      <c r="B22" s="241" t="s">
        <v>1342</v>
      </c>
      <c r="C22" s="243">
        <v>0.01</v>
      </c>
      <c r="D22" s="243">
        <v>2.2</v>
      </c>
      <c r="E22" s="243">
        <v>2.2</v>
      </c>
      <c r="F22" s="244">
        <f t="shared" si="10"/>
        <v>0.0484</v>
      </c>
      <c r="G22" s="243">
        <v>2.42</v>
      </c>
      <c r="H22" s="244">
        <f t="shared" si="11"/>
        <v>0.05324</v>
      </c>
      <c r="I22" s="243">
        <v>2.3</v>
      </c>
      <c r="J22" s="244">
        <f t="shared" si="12"/>
        <v>0.0506</v>
      </c>
      <c r="K22" s="243">
        <v>2.53</v>
      </c>
      <c r="L22" s="244">
        <f t="shared" si="13"/>
        <v>0.05566</v>
      </c>
      <c r="M22" s="243">
        <v>2.08</v>
      </c>
      <c r="N22" s="244">
        <f t="shared" si="14"/>
        <v>0.04576</v>
      </c>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34"/>
      <c r="BL22" s="234"/>
      <c r="BM22" s="234"/>
      <c r="BN22" s="234"/>
      <c r="BO22" s="234"/>
      <c r="BP22" s="234"/>
      <c r="BQ22" s="234"/>
      <c r="BR22" s="234"/>
      <c r="BS22" s="234"/>
      <c r="BT22" s="234"/>
      <c r="BU22" s="234"/>
      <c r="BV22" s="234"/>
      <c r="BW22" s="234"/>
      <c r="BX22" s="234"/>
      <c r="BY22" s="234"/>
      <c r="BZ22" s="234"/>
      <c r="CA22" s="234"/>
      <c r="CB22" s="234"/>
      <c r="CC22" s="234"/>
      <c r="CD22" s="234"/>
      <c r="CE22" s="234"/>
      <c r="CF22" s="234"/>
      <c r="CG22" s="234"/>
      <c r="CH22" s="234"/>
      <c r="CI22" s="234"/>
      <c r="CJ22" s="234"/>
      <c r="CK22" s="234"/>
      <c r="CL22" s="234"/>
      <c r="CM22" s="234"/>
      <c r="CN22" s="234"/>
      <c r="CO22" s="234"/>
      <c r="CP22" s="234"/>
      <c r="CQ22" s="234"/>
      <c r="CR22" s="234"/>
      <c r="CS22" s="234"/>
      <c r="CT22" s="234"/>
      <c r="CU22" s="234"/>
      <c r="CV22" s="234"/>
      <c r="CW22" s="234"/>
      <c r="CX22" s="234"/>
      <c r="CY22" s="234"/>
      <c r="CZ22" s="234"/>
      <c r="DA22" s="234"/>
      <c r="DB22" s="234"/>
      <c r="DC22" s="234"/>
      <c r="DD22" s="234"/>
      <c r="DE22" s="234"/>
      <c r="DF22" s="234"/>
      <c r="DG22" s="234"/>
      <c r="DH22" s="234"/>
      <c r="DI22" s="234"/>
      <c r="DJ22" s="234"/>
      <c r="DK22" s="234"/>
      <c r="DL22" s="234"/>
      <c r="DM22" s="234"/>
      <c r="DN22" s="234"/>
      <c r="DO22" s="234"/>
      <c r="DP22" s="234"/>
      <c r="DQ22" s="234"/>
      <c r="DR22" s="234"/>
      <c r="DS22" s="234"/>
      <c r="DT22" s="234"/>
      <c r="DU22" s="234"/>
      <c r="DV22" s="234"/>
      <c r="DW22" s="234"/>
      <c r="DX22" s="234"/>
      <c r="DY22" s="234"/>
      <c r="DZ22" s="234"/>
      <c r="EA22" s="234"/>
      <c r="EB22" s="234"/>
      <c r="EC22" s="234"/>
      <c r="ED22" s="234"/>
      <c r="EE22" s="234"/>
      <c r="EF22" s="234"/>
      <c r="EG22" s="234"/>
      <c r="EH22" s="234"/>
      <c r="EI22" s="234"/>
      <c r="EJ22" s="234"/>
      <c r="EK22" s="234"/>
      <c r="EL22" s="234"/>
      <c r="EM22" s="234"/>
      <c r="EN22" s="234"/>
      <c r="EO22" s="234"/>
      <c r="EP22" s="234"/>
      <c r="EQ22" s="234"/>
      <c r="ER22" s="234"/>
      <c r="ES22" s="234"/>
      <c r="ET22" s="234"/>
      <c r="EU22" s="234"/>
      <c r="EV22" s="234"/>
      <c r="EW22" s="234"/>
      <c r="EX22" s="234"/>
      <c r="EY22" s="234"/>
      <c r="EZ22" s="234"/>
      <c r="FA22" s="234"/>
      <c r="FB22" s="234"/>
      <c r="FC22" s="234"/>
      <c r="FD22" s="234"/>
      <c r="FE22" s="234"/>
      <c r="FF22" s="234"/>
      <c r="FG22" s="234"/>
      <c r="FH22" s="234"/>
      <c r="FI22" s="234"/>
      <c r="FJ22" s="234"/>
      <c r="FK22" s="234"/>
      <c r="FL22" s="234"/>
      <c r="FM22" s="234"/>
      <c r="FN22" s="234"/>
      <c r="FO22" s="234"/>
      <c r="FP22" s="234"/>
      <c r="FQ22" s="234"/>
      <c r="FR22" s="234"/>
      <c r="FS22" s="234"/>
      <c r="FT22" s="234"/>
      <c r="FU22" s="234"/>
      <c r="FV22" s="234"/>
      <c r="FW22" s="234"/>
      <c r="FX22" s="234"/>
      <c r="FY22" s="234"/>
      <c r="FZ22" s="234"/>
      <c r="GA22" s="234"/>
      <c r="GB22" s="234"/>
      <c r="GC22" s="234"/>
      <c r="GD22" s="234"/>
      <c r="GE22" s="234"/>
      <c r="GF22" s="234"/>
      <c r="GG22" s="234"/>
      <c r="GH22" s="234"/>
      <c r="GI22" s="234"/>
      <c r="GJ22" s="234"/>
      <c r="GK22" s="234"/>
      <c r="GL22" s="234"/>
      <c r="GM22" s="234"/>
      <c r="GN22" s="234"/>
      <c r="GO22" s="234"/>
      <c r="GP22" s="234"/>
      <c r="GQ22" s="234"/>
      <c r="GR22" s="234"/>
      <c r="GS22" s="234"/>
      <c r="GT22" s="234"/>
      <c r="GU22" s="234"/>
      <c r="GV22" s="234"/>
      <c r="GW22" s="234"/>
      <c r="GX22" s="234"/>
      <c r="GY22" s="234"/>
      <c r="GZ22" s="234"/>
      <c r="HA22" s="234"/>
      <c r="HB22" s="234"/>
      <c r="HC22" s="234"/>
      <c r="HD22" s="234"/>
      <c r="HE22" s="234"/>
      <c r="HF22" s="234"/>
      <c r="HG22" s="234"/>
      <c r="HH22" s="234"/>
      <c r="HI22" s="234"/>
      <c r="HJ22" s="234"/>
      <c r="HK22" s="234"/>
      <c r="HL22" s="234"/>
      <c r="HM22" s="234"/>
      <c r="HN22" s="234"/>
      <c r="HO22" s="234"/>
      <c r="HP22" s="234"/>
      <c r="HQ22" s="234"/>
      <c r="HR22" s="234"/>
      <c r="HS22" s="234"/>
      <c r="HT22" s="234"/>
      <c r="HU22" s="234"/>
      <c r="HV22" s="234"/>
      <c r="HW22" s="234"/>
      <c r="HX22" s="234"/>
      <c r="HY22" s="234"/>
      <c r="HZ22" s="234"/>
      <c r="IA22" s="234"/>
      <c r="IB22" s="234"/>
      <c r="IC22" s="234"/>
      <c r="ID22" s="234"/>
      <c r="IE22" s="234"/>
      <c r="IF22" s="234"/>
      <c r="IG22" s="234"/>
      <c r="IH22" s="234"/>
      <c r="II22" s="234"/>
      <c r="IJ22" s="234"/>
      <c r="IK22" s="234"/>
      <c r="IL22" s="234"/>
      <c r="IM22" s="234"/>
      <c r="IN22" s="234"/>
      <c r="IO22" s="234"/>
      <c r="IP22" s="234"/>
      <c r="IQ22" s="234"/>
      <c r="IR22" s="234"/>
      <c r="IS22" s="234"/>
      <c r="IT22" s="234"/>
      <c r="IU22" s="234"/>
      <c r="IV22" s="234"/>
    </row>
    <row r="23" spans="1:14">
      <c r="A23" s="241"/>
      <c r="B23" s="241" t="s">
        <v>1343</v>
      </c>
      <c r="C23" s="243">
        <v>0.01</v>
      </c>
      <c r="D23" s="243">
        <v>1.1</v>
      </c>
      <c r="E23" s="243">
        <v>1.1</v>
      </c>
      <c r="F23" s="244">
        <f t="shared" si="10"/>
        <v>0.0121</v>
      </c>
      <c r="G23" s="243">
        <v>1.21</v>
      </c>
      <c r="H23" s="244">
        <f t="shared" si="11"/>
        <v>0.01331</v>
      </c>
      <c r="I23" s="243">
        <v>1.15</v>
      </c>
      <c r="J23" s="244">
        <f t="shared" si="12"/>
        <v>0.01265</v>
      </c>
      <c r="K23" s="243">
        <v>1.27</v>
      </c>
      <c r="L23" s="244">
        <f t="shared" si="13"/>
        <v>0.01397</v>
      </c>
      <c r="M23" s="243">
        <v>1.04</v>
      </c>
      <c r="N23" s="244">
        <f t="shared" si="14"/>
        <v>0.01144</v>
      </c>
    </row>
    <row r="24" s="147" customFormat="1" spans="1:256">
      <c r="A24" s="241" t="s">
        <v>1344</v>
      </c>
      <c r="B24" s="241" t="s">
        <v>1337</v>
      </c>
      <c r="C24" s="243">
        <v>0.26</v>
      </c>
      <c r="D24" s="243">
        <v>-3.5</v>
      </c>
      <c r="E24" s="243">
        <v>3.8</v>
      </c>
      <c r="F24" s="244">
        <f t="shared" ref="F24:F30" si="15">C24*D24*(5-E24)</f>
        <v>-1.092</v>
      </c>
      <c r="G24" s="243">
        <v>4.18</v>
      </c>
      <c r="H24" s="244">
        <f t="shared" ref="H24:H30" si="16">C24*D24*(5-G24)</f>
        <v>-0.7462</v>
      </c>
      <c r="I24" s="243">
        <v>3.98</v>
      </c>
      <c r="J24" s="244">
        <f t="shared" ref="J24:J30" si="17">C24*D24*(5-I24)</f>
        <v>-0.9282</v>
      </c>
      <c r="K24" s="243">
        <v>4.37</v>
      </c>
      <c r="L24" s="244">
        <f t="shared" ref="L24:L30" si="18">C24*D24*(5-K24)</f>
        <v>-0.5733</v>
      </c>
      <c r="M24" s="243">
        <v>3.58</v>
      </c>
      <c r="N24" s="244">
        <f t="shared" ref="N24:N30" si="19">C24*D24*(5-M24)</f>
        <v>-1.2922</v>
      </c>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234"/>
      <c r="CH24" s="234"/>
      <c r="CI24" s="234"/>
      <c r="CJ24" s="234"/>
      <c r="CK24" s="234"/>
      <c r="CL24" s="234"/>
      <c r="CM24" s="234"/>
      <c r="CN24" s="234"/>
      <c r="CO24" s="234"/>
      <c r="CP24" s="234"/>
      <c r="CQ24" s="234"/>
      <c r="CR24" s="234"/>
      <c r="CS24" s="234"/>
      <c r="CT24" s="234"/>
      <c r="CU24" s="234"/>
      <c r="CV24" s="234"/>
      <c r="CW24" s="234"/>
      <c r="CX24" s="234"/>
      <c r="CY24" s="234"/>
      <c r="CZ24" s="234"/>
      <c r="DA24" s="234"/>
      <c r="DB24" s="234"/>
      <c r="DC24" s="234"/>
      <c r="DD24" s="234"/>
      <c r="DE24" s="234"/>
      <c r="DF24" s="234"/>
      <c r="DG24" s="234"/>
      <c r="DH24" s="234"/>
      <c r="DI24" s="234"/>
      <c r="DJ24" s="234"/>
      <c r="DK24" s="234"/>
      <c r="DL24" s="234"/>
      <c r="DM24" s="234"/>
      <c r="DN24" s="234"/>
      <c r="DO24" s="234"/>
      <c r="DP24" s="234"/>
      <c r="DQ24" s="234"/>
      <c r="DR24" s="234"/>
      <c r="DS24" s="234"/>
      <c r="DT24" s="234"/>
      <c r="DU24" s="234"/>
      <c r="DV24" s="234"/>
      <c r="DW24" s="234"/>
      <c r="DX24" s="234"/>
      <c r="DY24" s="234"/>
      <c r="DZ24" s="234"/>
      <c r="EA24" s="234"/>
      <c r="EB24" s="234"/>
      <c r="EC24" s="234"/>
      <c r="ED24" s="234"/>
      <c r="EE24" s="234"/>
      <c r="EF24" s="234"/>
      <c r="EG24" s="234"/>
      <c r="EH24" s="234"/>
      <c r="EI24" s="234"/>
      <c r="EJ24" s="234"/>
      <c r="EK24" s="234"/>
      <c r="EL24" s="234"/>
      <c r="EM24" s="234"/>
      <c r="EN24" s="234"/>
      <c r="EO24" s="234"/>
      <c r="EP24" s="234"/>
      <c r="EQ24" s="234"/>
      <c r="ER24" s="234"/>
      <c r="ES24" s="234"/>
      <c r="ET24" s="234"/>
      <c r="EU24" s="234"/>
      <c r="EV24" s="234"/>
      <c r="EW24" s="234"/>
      <c r="EX24" s="234"/>
      <c r="EY24" s="234"/>
      <c r="EZ24" s="234"/>
      <c r="FA24" s="234"/>
      <c r="FB24" s="234"/>
      <c r="FC24" s="234"/>
      <c r="FD24" s="234"/>
      <c r="FE24" s="234"/>
      <c r="FF24" s="234"/>
      <c r="FG24" s="234"/>
      <c r="FH24" s="234"/>
      <c r="FI24" s="234"/>
      <c r="FJ24" s="234"/>
      <c r="FK24" s="234"/>
      <c r="FL24" s="234"/>
      <c r="FM24" s="234"/>
      <c r="FN24" s="234"/>
      <c r="FO24" s="234"/>
      <c r="FP24" s="234"/>
      <c r="FQ24" s="234"/>
      <c r="FR24" s="234"/>
      <c r="FS24" s="234"/>
      <c r="FT24" s="234"/>
      <c r="FU24" s="234"/>
      <c r="FV24" s="234"/>
      <c r="FW24" s="234"/>
      <c r="FX24" s="234"/>
      <c r="FY24" s="234"/>
      <c r="FZ24" s="234"/>
      <c r="GA24" s="234"/>
      <c r="GB24" s="234"/>
      <c r="GC24" s="234"/>
      <c r="GD24" s="234"/>
      <c r="GE24" s="234"/>
      <c r="GF24" s="234"/>
      <c r="GG24" s="234"/>
      <c r="GH24" s="234"/>
      <c r="GI24" s="234"/>
      <c r="GJ24" s="234"/>
      <c r="GK24" s="234"/>
      <c r="GL24" s="234"/>
      <c r="GM24" s="234"/>
      <c r="GN24" s="234"/>
      <c r="GO24" s="234"/>
      <c r="GP24" s="234"/>
      <c r="GQ24" s="234"/>
      <c r="GR24" s="234"/>
      <c r="GS24" s="234"/>
      <c r="GT24" s="234"/>
      <c r="GU24" s="234"/>
      <c r="GV24" s="234"/>
      <c r="GW24" s="234"/>
      <c r="GX24" s="234"/>
      <c r="GY24" s="234"/>
      <c r="GZ24" s="234"/>
      <c r="HA24" s="234"/>
      <c r="HB24" s="234"/>
      <c r="HC24" s="234"/>
      <c r="HD24" s="234"/>
      <c r="HE24" s="234"/>
      <c r="HF24" s="234"/>
      <c r="HG24" s="234"/>
      <c r="HH24" s="234"/>
      <c r="HI24" s="234"/>
      <c r="HJ24" s="234"/>
      <c r="HK24" s="234"/>
      <c r="HL24" s="234"/>
      <c r="HM24" s="234"/>
      <c r="HN24" s="234"/>
      <c r="HO24" s="234"/>
      <c r="HP24" s="234"/>
      <c r="HQ24" s="234"/>
      <c r="HR24" s="234"/>
      <c r="HS24" s="234"/>
      <c r="HT24" s="234"/>
      <c r="HU24" s="234"/>
      <c r="HV24" s="234"/>
      <c r="HW24" s="234"/>
      <c r="HX24" s="234"/>
      <c r="HY24" s="234"/>
      <c r="HZ24" s="234"/>
      <c r="IA24" s="234"/>
      <c r="IB24" s="234"/>
      <c r="IC24" s="234"/>
      <c r="ID24" s="234"/>
      <c r="IE24" s="234"/>
      <c r="IF24" s="234"/>
      <c r="IG24" s="234"/>
      <c r="IH24" s="234"/>
      <c r="II24" s="234"/>
      <c r="IJ24" s="234"/>
      <c r="IK24" s="234"/>
      <c r="IL24" s="234"/>
      <c r="IM24" s="234"/>
      <c r="IN24" s="234"/>
      <c r="IO24" s="234"/>
      <c r="IP24" s="234"/>
      <c r="IQ24" s="234"/>
      <c r="IR24" s="234"/>
      <c r="IS24" s="234"/>
      <c r="IT24" s="234"/>
      <c r="IU24" s="234"/>
      <c r="IV24" s="234"/>
    </row>
    <row r="25" s="147" customFormat="1" spans="1:256">
      <c r="A25" s="241"/>
      <c r="B25" s="241" t="s">
        <v>1338</v>
      </c>
      <c r="C25" s="243">
        <v>0.08</v>
      </c>
      <c r="D25" s="243">
        <v>-3.9</v>
      </c>
      <c r="E25" s="243">
        <v>3.4</v>
      </c>
      <c r="F25" s="244">
        <f t="shared" si="15"/>
        <v>-0.4992</v>
      </c>
      <c r="G25" s="243">
        <v>3.74</v>
      </c>
      <c r="H25" s="244">
        <f t="shared" si="16"/>
        <v>-0.39312</v>
      </c>
      <c r="I25" s="243">
        <v>3.56</v>
      </c>
      <c r="J25" s="244">
        <f t="shared" si="17"/>
        <v>-0.44928</v>
      </c>
      <c r="K25" s="243">
        <v>3.91</v>
      </c>
      <c r="L25" s="244">
        <f t="shared" si="18"/>
        <v>-0.34008</v>
      </c>
      <c r="M25" s="243">
        <v>3.21</v>
      </c>
      <c r="N25" s="244">
        <f t="shared" si="19"/>
        <v>-0.55848</v>
      </c>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34"/>
      <c r="BL25" s="234"/>
      <c r="BM25" s="234"/>
      <c r="BN25" s="234"/>
      <c r="BO25" s="234"/>
      <c r="BP25" s="234"/>
      <c r="BQ25" s="234"/>
      <c r="BR25" s="234"/>
      <c r="BS25" s="234"/>
      <c r="BT25" s="234"/>
      <c r="BU25" s="234"/>
      <c r="BV25" s="234"/>
      <c r="BW25" s="234"/>
      <c r="BX25" s="234"/>
      <c r="BY25" s="234"/>
      <c r="BZ25" s="234"/>
      <c r="CA25" s="234"/>
      <c r="CB25" s="234"/>
      <c r="CC25" s="234"/>
      <c r="CD25" s="234"/>
      <c r="CE25" s="234"/>
      <c r="CF25" s="234"/>
      <c r="CG25" s="234"/>
      <c r="CH25" s="234"/>
      <c r="CI25" s="234"/>
      <c r="CJ25" s="234"/>
      <c r="CK25" s="234"/>
      <c r="CL25" s="234"/>
      <c r="CM25" s="234"/>
      <c r="CN25" s="234"/>
      <c r="CO25" s="234"/>
      <c r="CP25" s="234"/>
      <c r="CQ25" s="234"/>
      <c r="CR25" s="234"/>
      <c r="CS25" s="234"/>
      <c r="CT25" s="234"/>
      <c r="CU25" s="234"/>
      <c r="CV25" s="234"/>
      <c r="CW25" s="234"/>
      <c r="CX25" s="234"/>
      <c r="CY25" s="234"/>
      <c r="CZ25" s="234"/>
      <c r="DA25" s="234"/>
      <c r="DB25" s="234"/>
      <c r="DC25" s="234"/>
      <c r="DD25" s="234"/>
      <c r="DE25" s="234"/>
      <c r="DF25" s="234"/>
      <c r="DG25" s="234"/>
      <c r="DH25" s="234"/>
      <c r="DI25" s="234"/>
      <c r="DJ25" s="234"/>
      <c r="DK25" s="234"/>
      <c r="DL25" s="234"/>
      <c r="DM25" s="234"/>
      <c r="DN25" s="234"/>
      <c r="DO25" s="234"/>
      <c r="DP25" s="234"/>
      <c r="DQ25" s="234"/>
      <c r="DR25" s="234"/>
      <c r="DS25" s="234"/>
      <c r="DT25" s="234"/>
      <c r="DU25" s="234"/>
      <c r="DV25" s="234"/>
      <c r="DW25" s="234"/>
      <c r="DX25" s="234"/>
      <c r="DY25" s="234"/>
      <c r="DZ25" s="234"/>
      <c r="EA25" s="234"/>
      <c r="EB25" s="234"/>
      <c r="EC25" s="234"/>
      <c r="ED25" s="234"/>
      <c r="EE25" s="234"/>
      <c r="EF25" s="234"/>
      <c r="EG25" s="234"/>
      <c r="EH25" s="234"/>
      <c r="EI25" s="234"/>
      <c r="EJ25" s="234"/>
      <c r="EK25" s="234"/>
      <c r="EL25" s="234"/>
      <c r="EM25" s="234"/>
      <c r="EN25" s="234"/>
      <c r="EO25" s="234"/>
      <c r="EP25" s="234"/>
      <c r="EQ25" s="234"/>
      <c r="ER25" s="234"/>
      <c r="ES25" s="234"/>
      <c r="ET25" s="234"/>
      <c r="EU25" s="234"/>
      <c r="EV25" s="234"/>
      <c r="EW25" s="234"/>
      <c r="EX25" s="234"/>
      <c r="EY25" s="234"/>
      <c r="EZ25" s="234"/>
      <c r="FA25" s="234"/>
      <c r="FB25" s="234"/>
      <c r="FC25" s="234"/>
      <c r="FD25" s="234"/>
      <c r="FE25" s="234"/>
      <c r="FF25" s="234"/>
      <c r="FG25" s="234"/>
      <c r="FH25" s="234"/>
      <c r="FI25" s="234"/>
      <c r="FJ25" s="234"/>
      <c r="FK25" s="234"/>
      <c r="FL25" s="234"/>
      <c r="FM25" s="234"/>
      <c r="FN25" s="234"/>
      <c r="FO25" s="234"/>
      <c r="FP25" s="234"/>
      <c r="FQ25" s="234"/>
      <c r="FR25" s="234"/>
      <c r="FS25" s="234"/>
      <c r="FT25" s="234"/>
      <c r="FU25" s="234"/>
      <c r="FV25" s="234"/>
      <c r="FW25" s="234"/>
      <c r="FX25" s="234"/>
      <c r="FY25" s="234"/>
      <c r="FZ25" s="234"/>
      <c r="GA25" s="234"/>
      <c r="GB25" s="234"/>
      <c r="GC25" s="234"/>
      <c r="GD25" s="234"/>
      <c r="GE25" s="234"/>
      <c r="GF25" s="234"/>
      <c r="GG25" s="234"/>
      <c r="GH25" s="234"/>
      <c r="GI25" s="234"/>
      <c r="GJ25" s="234"/>
      <c r="GK25" s="234"/>
      <c r="GL25" s="234"/>
      <c r="GM25" s="234"/>
      <c r="GN25" s="234"/>
      <c r="GO25" s="234"/>
      <c r="GP25" s="234"/>
      <c r="GQ25" s="234"/>
      <c r="GR25" s="234"/>
      <c r="GS25" s="234"/>
      <c r="GT25" s="234"/>
      <c r="GU25" s="234"/>
      <c r="GV25" s="234"/>
      <c r="GW25" s="234"/>
      <c r="GX25" s="234"/>
      <c r="GY25" s="234"/>
      <c r="GZ25" s="234"/>
      <c r="HA25" s="234"/>
      <c r="HB25" s="234"/>
      <c r="HC25" s="234"/>
      <c r="HD25" s="234"/>
      <c r="HE25" s="234"/>
      <c r="HF25" s="234"/>
      <c r="HG25" s="234"/>
      <c r="HH25" s="234"/>
      <c r="HI25" s="234"/>
      <c r="HJ25" s="234"/>
      <c r="HK25" s="234"/>
      <c r="HL25" s="234"/>
      <c r="HM25" s="234"/>
      <c r="HN25" s="234"/>
      <c r="HO25" s="234"/>
      <c r="HP25" s="234"/>
      <c r="HQ25" s="234"/>
      <c r="HR25" s="234"/>
      <c r="HS25" s="234"/>
      <c r="HT25" s="234"/>
      <c r="HU25" s="234"/>
      <c r="HV25" s="234"/>
      <c r="HW25" s="234"/>
      <c r="HX25" s="234"/>
      <c r="HY25" s="234"/>
      <c r="HZ25" s="234"/>
      <c r="IA25" s="234"/>
      <c r="IB25" s="234"/>
      <c r="IC25" s="234"/>
      <c r="ID25" s="234"/>
      <c r="IE25" s="234"/>
      <c r="IF25" s="234"/>
      <c r="IG25" s="234"/>
      <c r="IH25" s="234"/>
      <c r="II25" s="234"/>
      <c r="IJ25" s="234"/>
      <c r="IK25" s="234"/>
      <c r="IL25" s="234"/>
      <c r="IM25" s="234"/>
      <c r="IN25" s="234"/>
      <c r="IO25" s="234"/>
      <c r="IP25" s="234"/>
      <c r="IQ25" s="234"/>
      <c r="IR25" s="234"/>
      <c r="IS25" s="234"/>
      <c r="IT25" s="234"/>
      <c r="IU25" s="234"/>
      <c r="IV25" s="234"/>
    </row>
    <row r="26" s="147" customFormat="1" spans="1:256">
      <c r="A26" s="241"/>
      <c r="B26" s="241" t="s">
        <v>1339</v>
      </c>
      <c r="C26" s="243">
        <v>0.03</v>
      </c>
      <c r="D26" s="243">
        <v>-4.6</v>
      </c>
      <c r="E26" s="243">
        <v>3.5</v>
      </c>
      <c r="F26" s="244">
        <f t="shared" si="15"/>
        <v>-0.207</v>
      </c>
      <c r="G26" s="243">
        <v>3.85</v>
      </c>
      <c r="H26" s="244">
        <f t="shared" si="16"/>
        <v>-0.1587</v>
      </c>
      <c r="I26" s="243">
        <v>3.67</v>
      </c>
      <c r="J26" s="244">
        <f t="shared" si="17"/>
        <v>-0.18354</v>
      </c>
      <c r="K26" s="243">
        <v>4.03</v>
      </c>
      <c r="L26" s="244">
        <f t="shared" si="18"/>
        <v>-0.13386</v>
      </c>
      <c r="M26" s="243">
        <v>3.3</v>
      </c>
      <c r="N26" s="244">
        <f t="shared" si="19"/>
        <v>-0.2346</v>
      </c>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34"/>
      <c r="BL26" s="234"/>
      <c r="BM26" s="234"/>
      <c r="BN26" s="234"/>
      <c r="BO26" s="234"/>
      <c r="BP26" s="234"/>
      <c r="BQ26" s="234"/>
      <c r="BR26" s="234"/>
      <c r="BS26" s="234"/>
      <c r="BT26" s="234"/>
      <c r="BU26" s="234"/>
      <c r="BV26" s="234"/>
      <c r="BW26" s="234"/>
      <c r="BX26" s="234"/>
      <c r="BY26" s="234"/>
      <c r="BZ26" s="234"/>
      <c r="CA26" s="234"/>
      <c r="CB26" s="234"/>
      <c r="CC26" s="234"/>
      <c r="CD26" s="234"/>
      <c r="CE26" s="234"/>
      <c r="CF26" s="234"/>
      <c r="CG26" s="234"/>
      <c r="CH26" s="234"/>
      <c r="CI26" s="234"/>
      <c r="CJ26" s="234"/>
      <c r="CK26" s="234"/>
      <c r="CL26" s="234"/>
      <c r="CM26" s="234"/>
      <c r="CN26" s="234"/>
      <c r="CO26" s="234"/>
      <c r="CP26" s="234"/>
      <c r="CQ26" s="234"/>
      <c r="CR26" s="234"/>
      <c r="CS26" s="234"/>
      <c r="CT26" s="234"/>
      <c r="CU26" s="234"/>
      <c r="CV26" s="234"/>
      <c r="CW26" s="234"/>
      <c r="CX26" s="234"/>
      <c r="CY26" s="234"/>
      <c r="CZ26" s="234"/>
      <c r="DA26" s="234"/>
      <c r="DB26" s="234"/>
      <c r="DC26" s="234"/>
      <c r="DD26" s="234"/>
      <c r="DE26" s="234"/>
      <c r="DF26" s="234"/>
      <c r="DG26" s="234"/>
      <c r="DH26" s="234"/>
      <c r="DI26" s="234"/>
      <c r="DJ26" s="234"/>
      <c r="DK26" s="234"/>
      <c r="DL26" s="234"/>
      <c r="DM26" s="234"/>
      <c r="DN26" s="234"/>
      <c r="DO26" s="234"/>
      <c r="DP26" s="234"/>
      <c r="DQ26" s="234"/>
      <c r="DR26" s="234"/>
      <c r="DS26" s="234"/>
      <c r="DT26" s="234"/>
      <c r="DU26" s="234"/>
      <c r="DV26" s="234"/>
      <c r="DW26" s="234"/>
      <c r="DX26" s="234"/>
      <c r="DY26" s="234"/>
      <c r="DZ26" s="234"/>
      <c r="EA26" s="234"/>
      <c r="EB26" s="234"/>
      <c r="EC26" s="234"/>
      <c r="ED26" s="234"/>
      <c r="EE26" s="234"/>
      <c r="EF26" s="234"/>
      <c r="EG26" s="234"/>
      <c r="EH26" s="234"/>
      <c r="EI26" s="234"/>
      <c r="EJ26" s="234"/>
      <c r="EK26" s="234"/>
      <c r="EL26" s="234"/>
      <c r="EM26" s="234"/>
      <c r="EN26" s="234"/>
      <c r="EO26" s="234"/>
      <c r="EP26" s="234"/>
      <c r="EQ26" s="234"/>
      <c r="ER26" s="234"/>
      <c r="ES26" s="234"/>
      <c r="ET26" s="234"/>
      <c r="EU26" s="234"/>
      <c r="EV26" s="234"/>
      <c r="EW26" s="234"/>
      <c r="EX26" s="234"/>
      <c r="EY26" s="234"/>
      <c r="EZ26" s="234"/>
      <c r="FA26" s="234"/>
      <c r="FB26" s="234"/>
      <c r="FC26" s="234"/>
      <c r="FD26" s="234"/>
      <c r="FE26" s="234"/>
      <c r="FF26" s="234"/>
      <c r="FG26" s="234"/>
      <c r="FH26" s="234"/>
      <c r="FI26" s="234"/>
      <c r="FJ26" s="234"/>
      <c r="FK26" s="234"/>
      <c r="FL26" s="234"/>
      <c r="FM26" s="234"/>
      <c r="FN26" s="234"/>
      <c r="FO26" s="234"/>
      <c r="FP26" s="234"/>
      <c r="FQ26" s="234"/>
      <c r="FR26" s="234"/>
      <c r="FS26" s="234"/>
      <c r="FT26" s="234"/>
      <c r="FU26" s="234"/>
      <c r="FV26" s="234"/>
      <c r="FW26" s="234"/>
      <c r="FX26" s="234"/>
      <c r="FY26" s="234"/>
      <c r="FZ26" s="234"/>
      <c r="GA26" s="234"/>
      <c r="GB26" s="234"/>
      <c r="GC26" s="234"/>
      <c r="GD26" s="234"/>
      <c r="GE26" s="234"/>
      <c r="GF26" s="234"/>
      <c r="GG26" s="234"/>
      <c r="GH26" s="234"/>
      <c r="GI26" s="234"/>
      <c r="GJ26" s="234"/>
      <c r="GK26" s="234"/>
      <c r="GL26" s="234"/>
      <c r="GM26" s="234"/>
      <c r="GN26" s="234"/>
      <c r="GO26" s="234"/>
      <c r="GP26" s="234"/>
      <c r="GQ26" s="234"/>
      <c r="GR26" s="234"/>
      <c r="GS26" s="234"/>
      <c r="GT26" s="234"/>
      <c r="GU26" s="234"/>
      <c r="GV26" s="234"/>
      <c r="GW26" s="234"/>
      <c r="GX26" s="234"/>
      <c r="GY26" s="234"/>
      <c r="GZ26" s="234"/>
      <c r="HA26" s="234"/>
      <c r="HB26" s="234"/>
      <c r="HC26" s="234"/>
      <c r="HD26" s="234"/>
      <c r="HE26" s="234"/>
      <c r="HF26" s="234"/>
      <c r="HG26" s="234"/>
      <c r="HH26" s="234"/>
      <c r="HI26" s="234"/>
      <c r="HJ26" s="234"/>
      <c r="HK26" s="234"/>
      <c r="HL26" s="234"/>
      <c r="HM26" s="234"/>
      <c r="HN26" s="234"/>
      <c r="HO26" s="234"/>
      <c r="HP26" s="234"/>
      <c r="HQ26" s="234"/>
      <c r="HR26" s="234"/>
      <c r="HS26" s="234"/>
      <c r="HT26" s="234"/>
      <c r="HU26" s="234"/>
      <c r="HV26" s="234"/>
      <c r="HW26" s="234"/>
      <c r="HX26" s="234"/>
      <c r="HY26" s="234"/>
      <c r="HZ26" s="234"/>
      <c r="IA26" s="234"/>
      <c r="IB26" s="234"/>
      <c r="IC26" s="234"/>
      <c r="ID26" s="234"/>
      <c r="IE26" s="234"/>
      <c r="IF26" s="234"/>
      <c r="IG26" s="234"/>
      <c r="IH26" s="234"/>
      <c r="II26" s="234"/>
      <c r="IJ26" s="234"/>
      <c r="IK26" s="234"/>
      <c r="IL26" s="234"/>
      <c r="IM26" s="234"/>
      <c r="IN26" s="234"/>
      <c r="IO26" s="234"/>
      <c r="IP26" s="234"/>
      <c r="IQ26" s="234"/>
      <c r="IR26" s="234"/>
      <c r="IS26" s="234"/>
      <c r="IT26" s="234"/>
      <c r="IU26" s="234"/>
      <c r="IV26" s="234"/>
    </row>
    <row r="27" s="147" customFormat="1" spans="1:256">
      <c r="A27" s="241"/>
      <c r="B27" s="241" t="s">
        <v>1340</v>
      </c>
      <c r="C27" s="243">
        <v>0.02</v>
      </c>
      <c r="D27" s="243">
        <v>-2</v>
      </c>
      <c r="E27" s="243">
        <v>1.1</v>
      </c>
      <c r="F27" s="244">
        <f t="shared" si="15"/>
        <v>-0.156</v>
      </c>
      <c r="G27" s="243">
        <v>1.21</v>
      </c>
      <c r="H27" s="244">
        <f t="shared" si="16"/>
        <v>-0.1516</v>
      </c>
      <c r="I27" s="243">
        <v>1.15</v>
      </c>
      <c r="J27" s="244">
        <f t="shared" si="17"/>
        <v>-0.154</v>
      </c>
      <c r="K27" s="243">
        <v>1.27</v>
      </c>
      <c r="L27" s="244">
        <f t="shared" si="18"/>
        <v>-0.1492</v>
      </c>
      <c r="M27" s="243">
        <v>1.04</v>
      </c>
      <c r="N27" s="244">
        <f t="shared" si="19"/>
        <v>-0.1584</v>
      </c>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34"/>
      <c r="BL27" s="234"/>
      <c r="BM27" s="234"/>
      <c r="BN27" s="234"/>
      <c r="BO27" s="234"/>
      <c r="BP27" s="234"/>
      <c r="BQ27" s="234"/>
      <c r="BR27" s="234"/>
      <c r="BS27" s="234"/>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234"/>
      <c r="DZ27" s="234"/>
      <c r="EA27" s="234"/>
      <c r="EB27" s="234"/>
      <c r="EC27" s="234"/>
      <c r="ED27" s="234"/>
      <c r="EE27" s="234"/>
      <c r="EF27" s="234"/>
      <c r="EG27" s="234"/>
      <c r="EH27" s="234"/>
      <c r="EI27" s="234"/>
      <c r="EJ27" s="234"/>
      <c r="EK27" s="234"/>
      <c r="EL27" s="234"/>
      <c r="EM27" s="234"/>
      <c r="EN27" s="234"/>
      <c r="EO27" s="234"/>
      <c r="EP27" s="234"/>
      <c r="EQ27" s="234"/>
      <c r="ER27" s="234"/>
      <c r="ES27" s="234"/>
      <c r="ET27" s="234"/>
      <c r="EU27" s="234"/>
      <c r="EV27" s="234"/>
      <c r="EW27" s="234"/>
      <c r="EX27" s="234"/>
      <c r="EY27" s="234"/>
      <c r="EZ27" s="234"/>
      <c r="FA27" s="234"/>
      <c r="FB27" s="234"/>
      <c r="FC27" s="234"/>
      <c r="FD27" s="234"/>
      <c r="FE27" s="234"/>
      <c r="FF27" s="234"/>
      <c r="FG27" s="234"/>
      <c r="FH27" s="234"/>
      <c r="FI27" s="234"/>
      <c r="FJ27" s="234"/>
      <c r="FK27" s="234"/>
      <c r="FL27" s="234"/>
      <c r="FM27" s="234"/>
      <c r="FN27" s="234"/>
      <c r="FO27" s="234"/>
      <c r="FP27" s="234"/>
      <c r="FQ27" s="234"/>
      <c r="FR27" s="234"/>
      <c r="FS27" s="234"/>
      <c r="FT27" s="234"/>
      <c r="FU27" s="234"/>
      <c r="FV27" s="234"/>
      <c r="FW27" s="234"/>
      <c r="FX27" s="234"/>
      <c r="FY27" s="234"/>
      <c r="FZ27" s="234"/>
      <c r="GA27" s="234"/>
      <c r="GB27" s="234"/>
      <c r="GC27" s="234"/>
      <c r="GD27" s="234"/>
      <c r="GE27" s="234"/>
      <c r="GF27" s="234"/>
      <c r="GG27" s="234"/>
      <c r="GH27" s="234"/>
      <c r="GI27" s="234"/>
      <c r="GJ27" s="234"/>
      <c r="GK27" s="234"/>
      <c r="GL27" s="234"/>
      <c r="GM27" s="234"/>
      <c r="GN27" s="234"/>
      <c r="GO27" s="234"/>
      <c r="GP27" s="234"/>
      <c r="GQ27" s="234"/>
      <c r="GR27" s="234"/>
      <c r="GS27" s="234"/>
      <c r="GT27" s="234"/>
      <c r="GU27" s="234"/>
      <c r="GV27" s="234"/>
      <c r="GW27" s="234"/>
      <c r="GX27" s="234"/>
      <c r="GY27" s="234"/>
      <c r="GZ27" s="234"/>
      <c r="HA27" s="234"/>
      <c r="HB27" s="234"/>
      <c r="HC27" s="234"/>
      <c r="HD27" s="234"/>
      <c r="HE27" s="234"/>
      <c r="HF27" s="234"/>
      <c r="HG27" s="234"/>
      <c r="HH27" s="234"/>
      <c r="HI27" s="234"/>
      <c r="HJ27" s="234"/>
      <c r="HK27" s="234"/>
      <c r="HL27" s="234"/>
      <c r="HM27" s="234"/>
      <c r="HN27" s="234"/>
      <c r="HO27" s="234"/>
      <c r="HP27" s="234"/>
      <c r="HQ27" s="234"/>
      <c r="HR27" s="234"/>
      <c r="HS27" s="234"/>
      <c r="HT27" s="234"/>
      <c r="HU27" s="234"/>
      <c r="HV27" s="234"/>
      <c r="HW27" s="234"/>
      <c r="HX27" s="234"/>
      <c r="HY27" s="234"/>
      <c r="HZ27" s="234"/>
      <c r="IA27" s="234"/>
      <c r="IB27" s="234"/>
      <c r="IC27" s="234"/>
      <c r="ID27" s="234"/>
      <c r="IE27" s="234"/>
      <c r="IF27" s="234"/>
      <c r="IG27" s="234"/>
      <c r="IH27" s="234"/>
      <c r="II27" s="234"/>
      <c r="IJ27" s="234"/>
      <c r="IK27" s="234"/>
      <c r="IL27" s="234"/>
      <c r="IM27" s="234"/>
      <c r="IN27" s="234"/>
      <c r="IO27" s="234"/>
      <c r="IP27" s="234"/>
      <c r="IQ27" s="234"/>
      <c r="IR27" s="234"/>
      <c r="IS27" s="234"/>
      <c r="IT27" s="234"/>
      <c r="IU27" s="234"/>
      <c r="IV27" s="234"/>
    </row>
    <row r="28" s="147" customFormat="1" spans="1:256">
      <c r="A28" s="241"/>
      <c r="B28" s="241" t="s">
        <v>1341</v>
      </c>
      <c r="C28" s="243">
        <v>0.02</v>
      </c>
      <c r="D28" s="243">
        <v>-3.5</v>
      </c>
      <c r="E28" s="243">
        <v>1.2</v>
      </c>
      <c r="F28" s="244">
        <f t="shared" si="15"/>
        <v>-0.266</v>
      </c>
      <c r="G28" s="243">
        <v>1.32</v>
      </c>
      <c r="H28" s="244">
        <f t="shared" si="16"/>
        <v>-0.2576</v>
      </c>
      <c r="I28" s="243">
        <v>1.26</v>
      </c>
      <c r="J28" s="244">
        <f t="shared" si="17"/>
        <v>-0.2618</v>
      </c>
      <c r="K28" s="243">
        <v>1.38</v>
      </c>
      <c r="L28" s="244">
        <f t="shared" si="18"/>
        <v>-0.2534</v>
      </c>
      <c r="M28" s="243">
        <v>1.13</v>
      </c>
      <c r="N28" s="244">
        <f t="shared" si="19"/>
        <v>-0.2709</v>
      </c>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34"/>
      <c r="BL28" s="234"/>
      <c r="BM28" s="234"/>
      <c r="BN28" s="234"/>
      <c r="BO28" s="234"/>
      <c r="BP28" s="234"/>
      <c r="BQ28" s="234"/>
      <c r="BR28" s="234"/>
      <c r="BS28" s="234"/>
      <c r="BT28" s="234"/>
      <c r="BU28" s="234"/>
      <c r="BV28" s="234"/>
      <c r="BW28" s="234"/>
      <c r="BX28" s="234"/>
      <c r="BY28" s="234"/>
      <c r="BZ28" s="234"/>
      <c r="CA28" s="234"/>
      <c r="CB28" s="234"/>
      <c r="CC28" s="234"/>
      <c r="CD28" s="234"/>
      <c r="CE28" s="234"/>
      <c r="CF28" s="234"/>
      <c r="CG28" s="234"/>
      <c r="CH28" s="234"/>
      <c r="CI28" s="234"/>
      <c r="CJ28" s="234"/>
      <c r="CK28" s="234"/>
      <c r="CL28" s="234"/>
      <c r="CM28" s="234"/>
      <c r="CN28" s="234"/>
      <c r="CO28" s="234"/>
      <c r="CP28" s="234"/>
      <c r="CQ28" s="234"/>
      <c r="CR28" s="234"/>
      <c r="CS28" s="234"/>
      <c r="CT28" s="234"/>
      <c r="CU28" s="234"/>
      <c r="CV28" s="234"/>
      <c r="CW28" s="234"/>
      <c r="CX28" s="234"/>
      <c r="CY28" s="234"/>
      <c r="CZ28" s="234"/>
      <c r="DA28" s="234"/>
      <c r="DB28" s="234"/>
      <c r="DC28" s="234"/>
      <c r="DD28" s="234"/>
      <c r="DE28" s="234"/>
      <c r="DF28" s="234"/>
      <c r="DG28" s="234"/>
      <c r="DH28" s="234"/>
      <c r="DI28" s="234"/>
      <c r="DJ28" s="234"/>
      <c r="DK28" s="234"/>
      <c r="DL28" s="234"/>
      <c r="DM28" s="234"/>
      <c r="DN28" s="234"/>
      <c r="DO28" s="234"/>
      <c r="DP28" s="234"/>
      <c r="DQ28" s="234"/>
      <c r="DR28" s="234"/>
      <c r="DS28" s="234"/>
      <c r="DT28" s="234"/>
      <c r="DU28" s="234"/>
      <c r="DV28" s="234"/>
      <c r="DW28" s="234"/>
      <c r="DX28" s="234"/>
      <c r="DY28" s="234"/>
      <c r="DZ28" s="234"/>
      <c r="EA28" s="234"/>
      <c r="EB28" s="234"/>
      <c r="EC28" s="234"/>
      <c r="ED28" s="234"/>
      <c r="EE28" s="234"/>
      <c r="EF28" s="234"/>
      <c r="EG28" s="234"/>
      <c r="EH28" s="234"/>
      <c r="EI28" s="234"/>
      <c r="EJ28" s="234"/>
      <c r="EK28" s="234"/>
      <c r="EL28" s="234"/>
      <c r="EM28" s="234"/>
      <c r="EN28" s="234"/>
      <c r="EO28" s="234"/>
      <c r="EP28" s="234"/>
      <c r="EQ28" s="234"/>
      <c r="ER28" s="234"/>
      <c r="ES28" s="234"/>
      <c r="ET28" s="234"/>
      <c r="EU28" s="234"/>
      <c r="EV28" s="234"/>
      <c r="EW28" s="234"/>
      <c r="EX28" s="234"/>
      <c r="EY28" s="234"/>
      <c r="EZ28" s="234"/>
      <c r="FA28" s="234"/>
      <c r="FB28" s="234"/>
      <c r="FC28" s="234"/>
      <c r="FD28" s="234"/>
      <c r="FE28" s="234"/>
      <c r="FF28" s="234"/>
      <c r="FG28" s="234"/>
      <c r="FH28" s="234"/>
      <c r="FI28" s="234"/>
      <c r="FJ28" s="234"/>
      <c r="FK28" s="234"/>
      <c r="FL28" s="234"/>
      <c r="FM28" s="234"/>
      <c r="FN28" s="234"/>
      <c r="FO28" s="234"/>
      <c r="FP28" s="234"/>
      <c r="FQ28" s="234"/>
      <c r="FR28" s="234"/>
      <c r="FS28" s="234"/>
      <c r="FT28" s="234"/>
      <c r="FU28" s="234"/>
      <c r="FV28" s="234"/>
      <c r="FW28" s="234"/>
      <c r="FX28" s="234"/>
      <c r="FY28" s="234"/>
      <c r="FZ28" s="234"/>
      <c r="GA28" s="234"/>
      <c r="GB28" s="234"/>
      <c r="GC28" s="234"/>
      <c r="GD28" s="234"/>
      <c r="GE28" s="234"/>
      <c r="GF28" s="234"/>
      <c r="GG28" s="234"/>
      <c r="GH28" s="234"/>
      <c r="GI28" s="234"/>
      <c r="GJ28" s="234"/>
      <c r="GK28" s="234"/>
      <c r="GL28" s="234"/>
      <c r="GM28" s="234"/>
      <c r="GN28" s="234"/>
      <c r="GO28" s="234"/>
      <c r="GP28" s="234"/>
      <c r="GQ28" s="234"/>
      <c r="GR28" s="234"/>
      <c r="GS28" s="234"/>
      <c r="GT28" s="234"/>
      <c r="GU28" s="234"/>
      <c r="GV28" s="234"/>
      <c r="GW28" s="234"/>
      <c r="GX28" s="234"/>
      <c r="GY28" s="234"/>
      <c r="GZ28" s="234"/>
      <c r="HA28" s="234"/>
      <c r="HB28" s="234"/>
      <c r="HC28" s="234"/>
      <c r="HD28" s="234"/>
      <c r="HE28" s="234"/>
      <c r="HF28" s="234"/>
      <c r="HG28" s="234"/>
      <c r="HH28" s="234"/>
      <c r="HI28" s="234"/>
      <c r="HJ28" s="234"/>
      <c r="HK28" s="234"/>
      <c r="HL28" s="234"/>
      <c r="HM28" s="234"/>
      <c r="HN28" s="234"/>
      <c r="HO28" s="234"/>
      <c r="HP28" s="234"/>
      <c r="HQ28" s="234"/>
      <c r="HR28" s="234"/>
      <c r="HS28" s="234"/>
      <c r="HT28" s="234"/>
      <c r="HU28" s="234"/>
      <c r="HV28" s="234"/>
      <c r="HW28" s="234"/>
      <c r="HX28" s="234"/>
      <c r="HY28" s="234"/>
      <c r="HZ28" s="234"/>
      <c r="IA28" s="234"/>
      <c r="IB28" s="234"/>
      <c r="IC28" s="234"/>
      <c r="ID28" s="234"/>
      <c r="IE28" s="234"/>
      <c r="IF28" s="234"/>
      <c r="IG28" s="234"/>
      <c r="IH28" s="234"/>
      <c r="II28" s="234"/>
      <c r="IJ28" s="234"/>
      <c r="IK28" s="234"/>
      <c r="IL28" s="234"/>
      <c r="IM28" s="234"/>
      <c r="IN28" s="234"/>
      <c r="IO28" s="234"/>
      <c r="IP28" s="234"/>
      <c r="IQ28" s="234"/>
      <c r="IR28" s="234"/>
      <c r="IS28" s="234"/>
      <c r="IT28" s="234"/>
      <c r="IU28" s="234"/>
      <c r="IV28" s="234"/>
    </row>
    <row r="29" s="147" customFormat="1" spans="1:256">
      <c r="A29" s="241"/>
      <c r="B29" s="241" t="s">
        <v>1342</v>
      </c>
      <c r="C29" s="243">
        <v>0.01</v>
      </c>
      <c r="D29" s="243">
        <v>-4.5</v>
      </c>
      <c r="E29" s="243">
        <v>1.6</v>
      </c>
      <c r="F29" s="244">
        <f t="shared" si="15"/>
        <v>-0.153</v>
      </c>
      <c r="G29" s="243">
        <v>1.76</v>
      </c>
      <c r="H29" s="244">
        <f t="shared" si="16"/>
        <v>-0.1458</v>
      </c>
      <c r="I29" s="243">
        <v>1.68</v>
      </c>
      <c r="J29" s="244">
        <f t="shared" si="17"/>
        <v>-0.1494</v>
      </c>
      <c r="K29" s="243">
        <v>1.84</v>
      </c>
      <c r="L29" s="244">
        <f t="shared" si="18"/>
        <v>-0.1422</v>
      </c>
      <c r="M29" s="243">
        <v>1.51</v>
      </c>
      <c r="N29" s="244">
        <f t="shared" si="19"/>
        <v>-0.15705</v>
      </c>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234"/>
      <c r="CH29" s="234"/>
      <c r="CI29" s="234"/>
      <c r="CJ29" s="234"/>
      <c r="CK29" s="234"/>
      <c r="CL29" s="234"/>
      <c r="CM29" s="234"/>
      <c r="CN29" s="234"/>
      <c r="CO29" s="234"/>
      <c r="CP29" s="234"/>
      <c r="CQ29" s="234"/>
      <c r="CR29" s="234"/>
      <c r="CS29" s="234"/>
      <c r="CT29" s="234"/>
      <c r="CU29" s="234"/>
      <c r="CV29" s="234"/>
      <c r="CW29" s="234"/>
      <c r="CX29" s="234"/>
      <c r="CY29" s="234"/>
      <c r="CZ29" s="234"/>
      <c r="DA29" s="234"/>
      <c r="DB29" s="234"/>
      <c r="DC29" s="234"/>
      <c r="DD29" s="234"/>
      <c r="DE29" s="234"/>
      <c r="DF29" s="234"/>
      <c r="DG29" s="234"/>
      <c r="DH29" s="234"/>
      <c r="DI29" s="234"/>
      <c r="DJ29" s="234"/>
      <c r="DK29" s="234"/>
      <c r="DL29" s="234"/>
      <c r="DM29" s="234"/>
      <c r="DN29" s="234"/>
      <c r="DO29" s="234"/>
      <c r="DP29" s="234"/>
      <c r="DQ29" s="234"/>
      <c r="DR29" s="234"/>
      <c r="DS29" s="234"/>
      <c r="DT29" s="234"/>
      <c r="DU29" s="234"/>
      <c r="DV29" s="234"/>
      <c r="DW29" s="234"/>
      <c r="DX29" s="234"/>
      <c r="DY29" s="234"/>
      <c r="DZ29" s="234"/>
      <c r="EA29" s="234"/>
      <c r="EB29" s="234"/>
      <c r="EC29" s="234"/>
      <c r="ED29" s="234"/>
      <c r="EE29" s="234"/>
      <c r="EF29" s="234"/>
      <c r="EG29" s="234"/>
      <c r="EH29" s="234"/>
      <c r="EI29" s="234"/>
      <c r="EJ29" s="234"/>
      <c r="EK29" s="234"/>
      <c r="EL29" s="234"/>
      <c r="EM29" s="234"/>
      <c r="EN29" s="234"/>
      <c r="EO29" s="234"/>
      <c r="EP29" s="234"/>
      <c r="EQ29" s="234"/>
      <c r="ER29" s="234"/>
      <c r="ES29" s="234"/>
      <c r="ET29" s="234"/>
      <c r="EU29" s="234"/>
      <c r="EV29" s="234"/>
      <c r="EW29" s="234"/>
      <c r="EX29" s="234"/>
      <c r="EY29" s="234"/>
      <c r="EZ29" s="234"/>
      <c r="FA29" s="234"/>
      <c r="FB29" s="234"/>
      <c r="FC29" s="234"/>
      <c r="FD29" s="234"/>
      <c r="FE29" s="234"/>
      <c r="FF29" s="234"/>
      <c r="FG29" s="234"/>
      <c r="FH29" s="234"/>
      <c r="FI29" s="234"/>
      <c r="FJ29" s="234"/>
      <c r="FK29" s="234"/>
      <c r="FL29" s="234"/>
      <c r="FM29" s="234"/>
      <c r="FN29" s="234"/>
      <c r="FO29" s="234"/>
      <c r="FP29" s="234"/>
      <c r="FQ29" s="234"/>
      <c r="FR29" s="234"/>
      <c r="FS29" s="234"/>
      <c r="FT29" s="234"/>
      <c r="FU29" s="234"/>
      <c r="FV29" s="234"/>
      <c r="FW29" s="234"/>
      <c r="FX29" s="234"/>
      <c r="FY29" s="234"/>
      <c r="FZ29" s="234"/>
      <c r="GA29" s="234"/>
      <c r="GB29" s="234"/>
      <c r="GC29" s="234"/>
      <c r="GD29" s="234"/>
      <c r="GE29" s="234"/>
      <c r="GF29" s="234"/>
      <c r="GG29" s="234"/>
      <c r="GH29" s="234"/>
      <c r="GI29" s="234"/>
      <c r="GJ29" s="234"/>
      <c r="GK29" s="234"/>
      <c r="GL29" s="234"/>
      <c r="GM29" s="234"/>
      <c r="GN29" s="234"/>
      <c r="GO29" s="234"/>
      <c r="GP29" s="234"/>
      <c r="GQ29" s="234"/>
      <c r="GR29" s="234"/>
      <c r="GS29" s="234"/>
      <c r="GT29" s="234"/>
      <c r="GU29" s="234"/>
      <c r="GV29" s="234"/>
      <c r="GW29" s="234"/>
      <c r="GX29" s="234"/>
      <c r="GY29" s="234"/>
      <c r="GZ29" s="234"/>
      <c r="HA29" s="234"/>
      <c r="HB29" s="234"/>
      <c r="HC29" s="234"/>
      <c r="HD29" s="234"/>
      <c r="HE29" s="234"/>
      <c r="HF29" s="234"/>
      <c r="HG29" s="234"/>
      <c r="HH29" s="234"/>
      <c r="HI29" s="234"/>
      <c r="HJ29" s="234"/>
      <c r="HK29" s="234"/>
      <c r="HL29" s="234"/>
      <c r="HM29" s="234"/>
      <c r="HN29" s="234"/>
      <c r="HO29" s="234"/>
      <c r="HP29" s="234"/>
      <c r="HQ29" s="234"/>
      <c r="HR29" s="234"/>
      <c r="HS29" s="234"/>
      <c r="HT29" s="234"/>
      <c r="HU29" s="234"/>
      <c r="HV29" s="234"/>
      <c r="HW29" s="234"/>
      <c r="HX29" s="234"/>
      <c r="HY29" s="234"/>
      <c r="HZ29" s="234"/>
      <c r="IA29" s="234"/>
      <c r="IB29" s="234"/>
      <c r="IC29" s="234"/>
      <c r="ID29" s="234"/>
      <c r="IE29" s="234"/>
      <c r="IF29" s="234"/>
      <c r="IG29" s="234"/>
      <c r="IH29" s="234"/>
      <c r="II29" s="234"/>
      <c r="IJ29" s="234"/>
      <c r="IK29" s="234"/>
      <c r="IL29" s="234"/>
      <c r="IM29" s="234"/>
      <c r="IN29" s="234"/>
      <c r="IO29" s="234"/>
      <c r="IP29" s="234"/>
      <c r="IQ29" s="234"/>
      <c r="IR29" s="234"/>
      <c r="IS29" s="234"/>
      <c r="IT29" s="234"/>
      <c r="IU29" s="234"/>
      <c r="IV29" s="234"/>
    </row>
    <row r="30" s="147" customFormat="1" spans="1:256">
      <c r="A30" s="241"/>
      <c r="B30" s="241" t="s">
        <v>1343</v>
      </c>
      <c r="C30" s="243">
        <v>0.01</v>
      </c>
      <c r="D30" s="243">
        <v>-2.5</v>
      </c>
      <c r="E30" s="243">
        <v>0.8</v>
      </c>
      <c r="F30" s="244">
        <f t="shared" si="15"/>
        <v>-0.105</v>
      </c>
      <c r="G30" s="243">
        <v>0.88</v>
      </c>
      <c r="H30" s="244">
        <f t="shared" si="16"/>
        <v>-0.103</v>
      </c>
      <c r="I30" s="243">
        <v>0.84</v>
      </c>
      <c r="J30" s="244">
        <f t="shared" si="17"/>
        <v>-0.104</v>
      </c>
      <c r="K30" s="243">
        <v>0.92</v>
      </c>
      <c r="L30" s="244">
        <f t="shared" si="18"/>
        <v>-0.102</v>
      </c>
      <c r="M30" s="243">
        <v>0.76</v>
      </c>
      <c r="N30" s="244">
        <f t="shared" si="19"/>
        <v>-0.106</v>
      </c>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34"/>
      <c r="BL30" s="234"/>
      <c r="BM30" s="234"/>
      <c r="BN30" s="234"/>
      <c r="BO30" s="234"/>
      <c r="BP30" s="234"/>
      <c r="BQ30" s="234"/>
      <c r="BR30" s="234"/>
      <c r="BS30" s="234"/>
      <c r="BT30" s="234"/>
      <c r="BU30" s="234"/>
      <c r="BV30" s="234"/>
      <c r="BW30" s="234"/>
      <c r="BX30" s="234"/>
      <c r="BY30" s="234"/>
      <c r="BZ30" s="234"/>
      <c r="CA30" s="234"/>
      <c r="CB30" s="234"/>
      <c r="CC30" s="234"/>
      <c r="CD30" s="234"/>
      <c r="CE30" s="234"/>
      <c r="CF30" s="234"/>
      <c r="CG30" s="234"/>
      <c r="CH30" s="234"/>
      <c r="CI30" s="234"/>
      <c r="CJ30" s="234"/>
      <c r="CK30" s="234"/>
      <c r="CL30" s="234"/>
      <c r="CM30" s="234"/>
      <c r="CN30" s="234"/>
      <c r="CO30" s="234"/>
      <c r="CP30" s="234"/>
      <c r="CQ30" s="234"/>
      <c r="CR30" s="234"/>
      <c r="CS30" s="234"/>
      <c r="CT30" s="234"/>
      <c r="CU30" s="234"/>
      <c r="CV30" s="234"/>
      <c r="CW30" s="234"/>
      <c r="CX30" s="234"/>
      <c r="CY30" s="234"/>
      <c r="CZ30" s="234"/>
      <c r="DA30" s="234"/>
      <c r="DB30" s="234"/>
      <c r="DC30" s="234"/>
      <c r="DD30" s="234"/>
      <c r="DE30" s="234"/>
      <c r="DF30" s="234"/>
      <c r="DG30" s="234"/>
      <c r="DH30" s="234"/>
      <c r="DI30" s="234"/>
      <c r="DJ30" s="234"/>
      <c r="DK30" s="234"/>
      <c r="DL30" s="234"/>
      <c r="DM30" s="234"/>
      <c r="DN30" s="234"/>
      <c r="DO30" s="234"/>
      <c r="DP30" s="234"/>
      <c r="DQ30" s="234"/>
      <c r="DR30" s="234"/>
      <c r="DS30" s="234"/>
      <c r="DT30" s="234"/>
      <c r="DU30" s="234"/>
      <c r="DV30" s="234"/>
      <c r="DW30" s="234"/>
      <c r="DX30" s="234"/>
      <c r="DY30" s="234"/>
      <c r="DZ30" s="234"/>
      <c r="EA30" s="234"/>
      <c r="EB30" s="234"/>
      <c r="EC30" s="234"/>
      <c r="ED30" s="234"/>
      <c r="EE30" s="234"/>
      <c r="EF30" s="234"/>
      <c r="EG30" s="234"/>
      <c r="EH30" s="234"/>
      <c r="EI30" s="234"/>
      <c r="EJ30" s="234"/>
      <c r="EK30" s="234"/>
      <c r="EL30" s="234"/>
      <c r="EM30" s="234"/>
      <c r="EN30" s="234"/>
      <c r="EO30" s="234"/>
      <c r="EP30" s="234"/>
      <c r="EQ30" s="234"/>
      <c r="ER30" s="234"/>
      <c r="ES30" s="234"/>
      <c r="ET30" s="234"/>
      <c r="EU30" s="234"/>
      <c r="EV30" s="234"/>
      <c r="EW30" s="234"/>
      <c r="EX30" s="234"/>
      <c r="EY30" s="234"/>
      <c r="EZ30" s="234"/>
      <c r="FA30" s="234"/>
      <c r="FB30" s="234"/>
      <c r="FC30" s="234"/>
      <c r="FD30" s="234"/>
      <c r="FE30" s="234"/>
      <c r="FF30" s="234"/>
      <c r="FG30" s="234"/>
      <c r="FH30" s="234"/>
      <c r="FI30" s="234"/>
      <c r="FJ30" s="234"/>
      <c r="FK30" s="234"/>
      <c r="FL30" s="234"/>
      <c r="FM30" s="234"/>
      <c r="FN30" s="234"/>
      <c r="FO30" s="234"/>
      <c r="FP30" s="234"/>
      <c r="FQ30" s="234"/>
      <c r="FR30" s="234"/>
      <c r="FS30" s="234"/>
      <c r="FT30" s="234"/>
      <c r="FU30" s="234"/>
      <c r="FV30" s="234"/>
      <c r="FW30" s="234"/>
      <c r="FX30" s="234"/>
      <c r="FY30" s="234"/>
      <c r="FZ30" s="234"/>
      <c r="GA30" s="234"/>
      <c r="GB30" s="234"/>
      <c r="GC30" s="234"/>
      <c r="GD30" s="234"/>
      <c r="GE30" s="234"/>
      <c r="GF30" s="234"/>
      <c r="GG30" s="234"/>
      <c r="GH30" s="234"/>
      <c r="GI30" s="234"/>
      <c r="GJ30" s="234"/>
      <c r="GK30" s="234"/>
      <c r="GL30" s="234"/>
      <c r="GM30" s="234"/>
      <c r="GN30" s="234"/>
      <c r="GO30" s="234"/>
      <c r="GP30" s="234"/>
      <c r="GQ30" s="234"/>
      <c r="GR30" s="234"/>
      <c r="GS30" s="234"/>
      <c r="GT30" s="234"/>
      <c r="GU30" s="234"/>
      <c r="GV30" s="234"/>
      <c r="GW30" s="234"/>
      <c r="GX30" s="234"/>
      <c r="GY30" s="234"/>
      <c r="GZ30" s="234"/>
      <c r="HA30" s="234"/>
      <c r="HB30" s="234"/>
      <c r="HC30" s="234"/>
      <c r="HD30" s="234"/>
      <c r="HE30" s="234"/>
      <c r="HF30" s="234"/>
      <c r="HG30" s="234"/>
      <c r="HH30" s="234"/>
      <c r="HI30" s="234"/>
      <c r="HJ30" s="234"/>
      <c r="HK30" s="234"/>
      <c r="HL30" s="234"/>
      <c r="HM30" s="234"/>
      <c r="HN30" s="234"/>
      <c r="HO30" s="234"/>
      <c r="HP30" s="234"/>
      <c r="HQ30" s="234"/>
      <c r="HR30" s="234"/>
      <c r="HS30" s="234"/>
      <c r="HT30" s="234"/>
      <c r="HU30" s="234"/>
      <c r="HV30" s="234"/>
      <c r="HW30" s="234"/>
      <c r="HX30" s="234"/>
      <c r="HY30" s="234"/>
      <c r="HZ30" s="234"/>
      <c r="IA30" s="234"/>
      <c r="IB30" s="234"/>
      <c r="IC30" s="234"/>
      <c r="ID30" s="234"/>
      <c r="IE30" s="234"/>
      <c r="IF30" s="234"/>
      <c r="IG30" s="234"/>
      <c r="IH30" s="234"/>
      <c r="II30" s="234"/>
      <c r="IJ30" s="234"/>
      <c r="IK30" s="234"/>
      <c r="IL30" s="234"/>
      <c r="IM30" s="234"/>
      <c r="IN30" s="234"/>
      <c r="IO30" s="234"/>
      <c r="IP30" s="234"/>
      <c r="IQ30" s="234"/>
      <c r="IR30" s="234"/>
      <c r="IS30" s="234"/>
      <c r="IT30" s="234"/>
      <c r="IU30" s="234"/>
      <c r="IV30" s="234"/>
    </row>
    <row r="31" s="147" customFormat="1" spans="1:256">
      <c r="A31" s="241" t="s">
        <v>689</v>
      </c>
      <c r="B31" s="241"/>
      <c r="C31" s="244">
        <f t="shared" ref="C31:H31" si="20">SUM(C5:C30)</f>
        <v>2</v>
      </c>
      <c r="D31" s="243"/>
      <c r="E31" s="243"/>
      <c r="F31" s="244">
        <f t="shared" si="20"/>
        <v>8.46566</v>
      </c>
      <c r="G31" s="243"/>
      <c r="H31" s="244">
        <f t="shared" si="20"/>
        <v>9.354686</v>
      </c>
      <c r="I31" s="243"/>
      <c r="J31" s="244">
        <f t="shared" ref="J31:N31" si="21">SUM(J5:J30)</f>
        <v>8.312692</v>
      </c>
      <c r="K31" s="243"/>
      <c r="L31" s="244">
        <f t="shared" si="21"/>
        <v>9.633972</v>
      </c>
      <c r="M31" s="243"/>
      <c r="N31" s="244">
        <f t="shared" si="21"/>
        <v>7.287842</v>
      </c>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row>
    <row r="32" s="147" customFormat="1" spans="1:256">
      <c r="A32" s="248" t="s">
        <v>1345</v>
      </c>
      <c r="B32" s="248"/>
      <c r="C32" s="249"/>
      <c r="D32" s="249"/>
      <c r="E32" s="249"/>
      <c r="F32" s="249"/>
      <c r="G32" s="249"/>
      <c r="H32" s="249"/>
      <c r="I32" s="249"/>
      <c r="J32" s="249"/>
      <c r="K32" s="249"/>
      <c r="L32" s="249"/>
      <c r="M32" s="249"/>
      <c r="N32" s="249"/>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row>
    <row r="33" s="147" customFormat="1" spans="1:256">
      <c r="A33" s="248" t="s">
        <v>1346</v>
      </c>
      <c r="B33" s="248"/>
      <c r="C33" s="249"/>
      <c r="D33" s="249"/>
      <c r="E33" s="249"/>
      <c r="F33" s="249"/>
      <c r="G33" s="249"/>
      <c r="H33" s="249"/>
      <c r="I33" s="249"/>
      <c r="J33" s="249"/>
      <c r="K33" s="249"/>
      <c r="L33" s="249"/>
      <c r="M33" s="249"/>
      <c r="N33" s="249"/>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row>
    <row r="34" s="147" customFormat="1" spans="1:256">
      <c r="A34" s="248" t="s">
        <v>1347</v>
      </c>
      <c r="B34" s="248"/>
      <c r="C34" s="249"/>
      <c r="D34" s="249"/>
      <c r="E34" s="249"/>
      <c r="F34" s="249"/>
      <c r="G34" s="249"/>
      <c r="H34" s="249"/>
      <c r="I34" s="249"/>
      <c r="J34" s="249"/>
      <c r="K34" s="249"/>
      <c r="L34" s="249"/>
      <c r="M34" s="249"/>
      <c r="N34" s="249"/>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row>
    <row r="35" s="147" customFormat="1" spans="1:256">
      <c r="A35" s="248" t="s">
        <v>1348</v>
      </c>
      <c r="B35" s="248"/>
      <c r="C35" s="249"/>
      <c r="D35" s="249"/>
      <c r="E35" s="249"/>
      <c r="F35" s="249"/>
      <c r="G35" s="249"/>
      <c r="H35" s="249"/>
      <c r="I35" s="249"/>
      <c r="J35" s="249"/>
      <c r="K35" s="249"/>
      <c r="L35" s="249"/>
      <c r="M35" s="249"/>
      <c r="N35" s="249"/>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row>
    <row r="36" s="147" customFormat="1" spans="1:256">
      <c r="A36" s="248" t="s">
        <v>1349</v>
      </c>
      <c r="B36" s="248"/>
      <c r="C36" s="249"/>
      <c r="D36" s="249"/>
      <c r="E36" s="249"/>
      <c r="F36" s="249"/>
      <c r="G36" s="249"/>
      <c r="H36" s="249"/>
      <c r="I36" s="249"/>
      <c r="J36" s="249"/>
      <c r="K36" s="249"/>
      <c r="L36" s="249"/>
      <c r="M36" s="249"/>
      <c r="N36" s="249"/>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row>
  </sheetData>
  <mergeCells count="22">
    <mergeCell ref="A1:N1"/>
    <mergeCell ref="F2:H2"/>
    <mergeCell ref="M2:N2"/>
    <mergeCell ref="E3:F3"/>
    <mergeCell ref="G3:H3"/>
    <mergeCell ref="I3:J3"/>
    <mergeCell ref="K3:L3"/>
    <mergeCell ref="M3:N3"/>
    <mergeCell ref="A31:B31"/>
    <mergeCell ref="A32:N32"/>
    <mergeCell ref="A33:N33"/>
    <mergeCell ref="A34:N34"/>
    <mergeCell ref="A35:N35"/>
    <mergeCell ref="A36:N36"/>
    <mergeCell ref="A3:A4"/>
    <mergeCell ref="A5:A10"/>
    <mergeCell ref="A11:A16"/>
    <mergeCell ref="A17:A23"/>
    <mergeCell ref="A24:A30"/>
    <mergeCell ref="B3:B4"/>
    <mergeCell ref="C3:C4"/>
    <mergeCell ref="D3:D4"/>
  </mergeCells>
  <pageMargins left="0.75" right="0.75" top="1" bottom="1" header="0.509027777777778" footer="0.509027777777778"/>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P35"/>
  <sheetViews>
    <sheetView showGridLines="0" zoomScale="90" zoomScaleNormal="90" workbookViewId="0">
      <selection activeCell="A1" sqref="A1:O1"/>
    </sheetView>
  </sheetViews>
  <sheetFormatPr defaultColWidth="9" defaultRowHeight="17.25"/>
  <cols>
    <col min="1" max="1" width="9" style="147"/>
    <col min="2" max="2" width="3.625" style="147" customWidth="1"/>
    <col min="3" max="3" width="15" style="147" customWidth="1"/>
    <col min="4" max="6" width="15.625" style="147" customWidth="1"/>
    <col min="7" max="7" width="3.75" style="147" customWidth="1"/>
    <col min="8" max="16384" width="9" style="147"/>
  </cols>
  <sheetData>
    <row r="1" ht="29.25" spans="1:15">
      <c r="A1" s="148" t="s">
        <v>1350</v>
      </c>
      <c r="B1" s="148"/>
      <c r="C1" s="148"/>
      <c r="D1" s="148"/>
      <c r="E1" s="148"/>
      <c r="F1" s="148"/>
      <c r="G1" s="148"/>
      <c r="H1" s="148"/>
      <c r="I1" s="148"/>
      <c r="J1" s="148"/>
      <c r="K1" s="148"/>
      <c r="L1" s="148"/>
      <c r="M1" s="148"/>
      <c r="N1" s="148"/>
      <c r="O1" s="148"/>
    </row>
    <row r="2" ht="16.5" spans="1:6">
      <c r="A2" s="149"/>
      <c r="B2" s="149"/>
      <c r="C2" s="149"/>
      <c r="D2" s="149" t="str">
        <f>[1]资产负债表!C3</f>
        <v>年    月    日</v>
      </c>
      <c r="E2" s="149"/>
      <c r="F2" s="195" t="s">
        <v>198</v>
      </c>
    </row>
    <row r="4" spans="9:12">
      <c r="I4" s="222" t="s">
        <v>1351</v>
      </c>
      <c r="J4" s="222" t="s">
        <v>1352</v>
      </c>
      <c r="K4" s="222" t="s">
        <v>1353</v>
      </c>
      <c r="L4" s="222" t="s">
        <v>1354</v>
      </c>
    </row>
    <row r="5" spans="9:15">
      <c r="I5" s="223">
        <f>0.5*$D$19</f>
        <v>2805</v>
      </c>
      <c r="J5" s="224">
        <f>(2*I5*D22*D23)^(1/2)+I5*D21</f>
        <v>40090.4876598706</v>
      </c>
      <c r="K5" s="224">
        <f t="shared" ref="K5:K15" si="0">I5*$F$20+(2*I5*$F$21*$F$22*($F$23-L5)/$F$23)^(1/2)</f>
        <v>30278.3450654718</v>
      </c>
      <c r="L5" s="225">
        <f t="shared" ref="L5:L15" si="1">I5/360</f>
        <v>7.79166666666667</v>
      </c>
      <c r="N5" s="226">
        <v>0</v>
      </c>
      <c r="O5" s="224">
        <f>D31</f>
        <v>79700.3447763488</v>
      </c>
    </row>
    <row r="6" spans="9:15">
      <c r="I6" s="223">
        <f>0.6*$D$19</f>
        <v>3366</v>
      </c>
      <c r="J6" s="224">
        <f>(2*I6*D22*D23)^(1/2)+I6*D21</f>
        <v>48022.7991989315</v>
      </c>
      <c r="K6" s="224">
        <f t="shared" si="0"/>
        <v>34659.8267965293</v>
      </c>
      <c r="L6" s="225">
        <f t="shared" si="1"/>
        <v>9.35</v>
      </c>
      <c r="N6" s="223">
        <f>D19</f>
        <v>5610</v>
      </c>
      <c r="O6" s="224">
        <f>D31</f>
        <v>79700.3447763488</v>
      </c>
    </row>
    <row r="7" spans="9:15">
      <c r="I7" s="223">
        <f>0.7*$D$19</f>
        <v>3927</v>
      </c>
      <c r="J7" s="224">
        <f>(2*I7*D22*D23)^(1/2)+I7*D21</f>
        <v>55948.8140913687</v>
      </c>
      <c r="K7" s="224">
        <f t="shared" si="0"/>
        <v>38889.670644948</v>
      </c>
      <c r="L7" s="225">
        <f t="shared" si="1"/>
        <v>10.9083333333333</v>
      </c>
      <c r="N7" s="209"/>
      <c r="O7" s="227"/>
    </row>
    <row r="8" spans="9:16">
      <c r="I8" s="223">
        <f>0.8*$D$19</f>
        <v>4488</v>
      </c>
      <c r="J8" s="224">
        <f>(2*I8*D22*D23)^(1/2)+I8*D21</f>
        <v>63869.8439189011</v>
      </c>
      <c r="K8" s="224">
        <f t="shared" si="0"/>
        <v>42992.3577649404</v>
      </c>
      <c r="L8" s="225">
        <f t="shared" si="1"/>
        <v>12.4666666666667</v>
      </c>
      <c r="M8" s="208"/>
      <c r="N8" s="226">
        <v>0</v>
      </c>
      <c r="O8" s="224">
        <f>E31</f>
        <v>50878.8414244397</v>
      </c>
      <c r="P8" s="208"/>
    </row>
    <row r="9" spans="9:16">
      <c r="I9" s="223">
        <f>0.9*$D$19</f>
        <v>5049</v>
      </c>
      <c r="J9" s="224">
        <f>(2*I9*D22*D23)^(1/2)+I9*D21</f>
        <v>71786.7997093023</v>
      </c>
      <c r="K9" s="224">
        <f t="shared" si="0"/>
        <v>46984.733794534</v>
      </c>
      <c r="L9" s="225">
        <f t="shared" si="1"/>
        <v>14.025</v>
      </c>
      <c r="M9" s="208"/>
      <c r="N9" s="223">
        <f>D19</f>
        <v>5610</v>
      </c>
      <c r="O9" s="224">
        <f>E31</f>
        <v>50878.8414244397</v>
      </c>
      <c r="P9" s="208"/>
    </row>
    <row r="10" spans="9:16">
      <c r="I10" s="228">
        <f>$D$19</f>
        <v>5610</v>
      </c>
      <c r="J10" s="229">
        <f>(2*I10*D22*D23)^(1/2)+I10*D21</f>
        <v>79700.3447763488</v>
      </c>
      <c r="K10" s="229">
        <f t="shared" si="0"/>
        <v>50878.8414244397</v>
      </c>
      <c r="L10" s="230">
        <f t="shared" si="1"/>
        <v>15.5833333333333</v>
      </c>
      <c r="M10" s="208"/>
      <c r="N10" s="208"/>
      <c r="O10" s="208"/>
      <c r="P10" s="208"/>
    </row>
    <row r="11" spans="9:16">
      <c r="I11" s="223">
        <f>1.1*$D$19</f>
        <v>6171</v>
      </c>
      <c r="J11" s="224">
        <f>(2*I11*D22*D23)^(1/2)+I11*D21</f>
        <v>87610.9798683627</v>
      </c>
      <c r="K11" s="224">
        <f t="shared" si="0"/>
        <v>54683.5000099108</v>
      </c>
      <c r="L11" s="225">
        <f t="shared" si="1"/>
        <v>17.1416666666667</v>
      </c>
      <c r="M11" s="208"/>
      <c r="N11" s="208"/>
      <c r="O11" s="208"/>
      <c r="P11" s="208"/>
    </row>
    <row r="12" spans="9:16">
      <c r="I12" s="223">
        <f>1.2*$D$19</f>
        <v>6732</v>
      </c>
      <c r="J12" s="224">
        <f>(2*I12*D22*D23)^(1/2)+I12*D21</f>
        <v>95519.0940169791</v>
      </c>
      <c r="K12" s="224">
        <f t="shared" si="0"/>
        <v>58405.2455265563</v>
      </c>
      <c r="L12" s="225">
        <f t="shared" si="1"/>
        <v>18.7</v>
      </c>
      <c r="M12" s="208"/>
      <c r="N12" s="209" t="s">
        <v>1354</v>
      </c>
      <c r="O12" s="231">
        <f>D19/360</f>
        <v>15.5833333333333</v>
      </c>
      <c r="P12" s="208"/>
    </row>
    <row r="13" spans="9:16">
      <c r="I13" s="223">
        <f>1.3*$D$19</f>
        <v>7293</v>
      </c>
      <c r="J13" s="224">
        <f>(2*I13*D22*D23)^(1/2)+I13*D21</f>
        <v>103424.996598635</v>
      </c>
      <c r="K13" s="224">
        <f t="shared" si="0"/>
        <v>62048.9164177195</v>
      </c>
      <c r="L13" s="225">
        <f t="shared" si="1"/>
        <v>20.2583333333333</v>
      </c>
      <c r="M13" s="208"/>
      <c r="N13" s="208"/>
      <c r="O13" s="208"/>
      <c r="P13" s="208"/>
    </row>
    <row r="14" spans="9:16">
      <c r="I14" s="223">
        <f>1.4*$D$19</f>
        <v>7854</v>
      </c>
      <c r="J14" s="224">
        <f>(2*I14*D22*D23)^(1/2)+I14*D21</f>
        <v>111328.938454556</v>
      </c>
      <c r="K14" s="224">
        <f t="shared" si="0"/>
        <v>65618.0296744652</v>
      </c>
      <c r="L14" s="225">
        <f t="shared" si="1"/>
        <v>21.8166666666667</v>
      </c>
      <c r="M14" s="208"/>
      <c r="N14" s="208"/>
      <c r="O14" s="208"/>
      <c r="P14" s="208"/>
    </row>
    <row r="15" spans="9:16">
      <c r="I15" s="223">
        <f>1.5*$D$19</f>
        <v>8415</v>
      </c>
      <c r="J15" s="224">
        <f>(2*I15*D22*D23)^(1/2)+I15*D21</f>
        <v>119231.126313879</v>
      </c>
      <c r="K15" s="224">
        <f t="shared" si="0"/>
        <v>69115.0246979702</v>
      </c>
      <c r="L15" s="225">
        <f t="shared" si="1"/>
        <v>23.375</v>
      </c>
      <c r="P15" s="208"/>
    </row>
    <row r="16" spans="13:16">
      <c r="M16" s="208"/>
      <c r="N16" s="232">
        <f>MIN(J5:K15)</f>
        <v>30278.3450654718</v>
      </c>
      <c r="P16" s="208"/>
    </row>
    <row r="17" spans="13:16">
      <c r="M17" s="208"/>
      <c r="N17" s="232">
        <f>MAX(J5:K15)</f>
        <v>119231.126313879</v>
      </c>
      <c r="P17" s="208"/>
    </row>
    <row r="18" ht="18" spans="2:16">
      <c r="B18" s="150"/>
      <c r="C18" s="151" t="s">
        <v>1355</v>
      </c>
      <c r="D18" s="150"/>
      <c r="E18" s="146"/>
      <c r="F18" s="146"/>
      <c r="G18" s="146"/>
      <c r="M18" s="208"/>
      <c r="P18" s="208"/>
    </row>
    <row r="19" ht="18" spans="2:16">
      <c r="B19" s="150"/>
      <c r="C19" s="196" t="s">
        <v>1351</v>
      </c>
      <c r="D19" s="197">
        <v>5610</v>
      </c>
      <c r="E19" s="198" t="s">
        <v>1353</v>
      </c>
      <c r="F19" s="198"/>
      <c r="G19" s="150"/>
      <c r="K19" s="208"/>
      <c r="L19" s="208"/>
      <c r="M19" s="208"/>
      <c r="P19" s="208"/>
    </row>
    <row r="20" ht="18" spans="2:16">
      <c r="B20" s="150"/>
      <c r="C20" s="198" t="s">
        <v>1352</v>
      </c>
      <c r="D20" s="199"/>
      <c r="E20" s="200" t="s">
        <v>1356</v>
      </c>
      <c r="F20" s="201">
        <v>6</v>
      </c>
      <c r="G20" s="150"/>
      <c r="K20" s="208"/>
      <c r="L20" s="208"/>
      <c r="M20" s="208"/>
      <c r="N20" s="208"/>
      <c r="O20" s="208"/>
      <c r="P20" s="208"/>
    </row>
    <row r="21" spans="2:16">
      <c r="B21" s="150"/>
      <c r="C21" s="202" t="s">
        <v>1357</v>
      </c>
      <c r="D21" s="203">
        <v>14</v>
      </c>
      <c r="E21" s="200" t="s">
        <v>1358</v>
      </c>
      <c r="F21" s="201">
        <v>1812</v>
      </c>
      <c r="G21" s="150"/>
      <c r="K21" s="233"/>
      <c r="L21" s="233"/>
      <c r="M21" s="208"/>
      <c r="N21" s="208"/>
      <c r="O21" s="208"/>
      <c r="P21" s="208"/>
    </row>
    <row r="22" spans="2:13">
      <c r="B22" s="150"/>
      <c r="C22" s="204" t="s">
        <v>1359</v>
      </c>
      <c r="D22" s="205">
        <v>10</v>
      </c>
      <c r="E22" s="200" t="s">
        <v>1360</v>
      </c>
      <c r="F22" s="201">
        <v>21</v>
      </c>
      <c r="G22" s="150"/>
      <c r="K22" s="208"/>
      <c r="L22" s="208"/>
      <c r="M22" s="208"/>
    </row>
    <row r="23" spans="2:13">
      <c r="B23" s="150"/>
      <c r="C23" s="206" t="s">
        <v>1360</v>
      </c>
      <c r="D23" s="205">
        <v>12</v>
      </c>
      <c r="E23" s="200" t="s">
        <v>1361</v>
      </c>
      <c r="F23" s="201">
        <v>51</v>
      </c>
      <c r="G23" s="150"/>
      <c r="K23" s="208"/>
      <c r="L23" s="208"/>
      <c r="M23" s="208"/>
    </row>
    <row r="24" spans="2:13">
      <c r="B24" s="150"/>
      <c r="C24" s="207"/>
      <c r="D24" s="207"/>
      <c r="E24" s="150"/>
      <c r="F24" s="150"/>
      <c r="G24" s="150"/>
      <c r="I24" s="208"/>
      <c r="J24" s="208"/>
      <c r="K24" s="208"/>
      <c r="L24" s="208"/>
      <c r="M24" s="208"/>
    </row>
    <row r="25" spans="3:13">
      <c r="C25" s="208"/>
      <c r="D25" s="208"/>
      <c r="E25" s="209"/>
      <c r="F25" s="209"/>
      <c r="G25" s="146"/>
      <c r="I25" s="208"/>
      <c r="J25" s="208"/>
      <c r="K25" s="208"/>
      <c r="L25" s="208"/>
      <c r="M25" s="208"/>
    </row>
    <row r="26" spans="3:13">
      <c r="C26" s="208"/>
      <c r="D26" s="208"/>
      <c r="E26" s="209"/>
      <c r="F26" s="209"/>
      <c r="I26" s="208"/>
      <c r="J26" s="208"/>
      <c r="K26" s="208"/>
      <c r="L26" s="208"/>
      <c r="M26" s="208"/>
    </row>
    <row r="27" spans="2:13">
      <c r="B27" s="210"/>
      <c r="C27" s="211" t="s">
        <v>1362</v>
      </c>
      <c r="D27" s="212"/>
      <c r="E27" s="212"/>
      <c r="F27" s="213"/>
      <c r="G27" s="210"/>
      <c r="L27" s="208"/>
      <c r="M27" s="208"/>
    </row>
    <row r="28" spans="2:13">
      <c r="B28" s="176"/>
      <c r="C28" s="214"/>
      <c r="D28" s="215" t="s">
        <v>1352</v>
      </c>
      <c r="E28" s="216" t="s">
        <v>1353</v>
      </c>
      <c r="F28" s="216" t="s">
        <v>1363</v>
      </c>
      <c r="G28" s="210"/>
      <c r="I28" s="208"/>
      <c r="J28" s="208"/>
      <c r="K28" s="208"/>
      <c r="L28" s="208"/>
      <c r="M28" s="208"/>
    </row>
    <row r="29" spans="2:13">
      <c r="B29" s="176"/>
      <c r="C29" s="217" t="s">
        <v>1364</v>
      </c>
      <c r="D29" s="218">
        <f>(2*D19*D22/D23)^(1/2)</f>
        <v>96.6953980290686</v>
      </c>
      <c r="E29" s="219">
        <f>(2*D19*F21*F23/F22/(F23-O12))^(1/2)</f>
        <v>1180.72055481872</v>
      </c>
      <c r="F29" s="220"/>
      <c r="G29" s="210"/>
      <c r="I29" s="208"/>
      <c r="J29" s="208"/>
      <c r="K29" s="208"/>
      <c r="L29" s="208"/>
      <c r="M29" s="208"/>
    </row>
    <row r="30" spans="2:13">
      <c r="B30" s="176"/>
      <c r="C30" s="217" t="s">
        <v>1365</v>
      </c>
      <c r="D30" s="218">
        <f>(2*D19*D22*D23)^(1/2)</f>
        <v>1160.34477634882</v>
      </c>
      <c r="E30" s="219">
        <f>(2*D19*F21*F22*(F23-O12)/F23)^(1/2)</f>
        <v>17218.8414244397</v>
      </c>
      <c r="F30" s="220"/>
      <c r="G30" s="210"/>
      <c r="I30" s="208"/>
      <c r="J30" s="208"/>
      <c r="K30" s="208"/>
      <c r="L30" s="208"/>
      <c r="M30" s="208"/>
    </row>
    <row r="31" spans="2:13">
      <c r="B31" s="176"/>
      <c r="C31" s="217" t="s">
        <v>1366</v>
      </c>
      <c r="D31" s="218">
        <f>D30+D19*D21</f>
        <v>79700.3447763488</v>
      </c>
      <c r="E31" s="219">
        <f>D19*F20+E30</f>
        <v>50878.8414244397</v>
      </c>
      <c r="F31" s="220"/>
      <c r="G31" s="210"/>
      <c r="I31" s="208"/>
      <c r="J31" s="208"/>
      <c r="K31" s="208"/>
      <c r="L31" s="208"/>
      <c r="M31" s="208"/>
    </row>
    <row r="32" spans="2:13">
      <c r="B32" s="176"/>
      <c r="C32" s="176"/>
      <c r="D32" s="176"/>
      <c r="E32" s="176"/>
      <c r="F32" s="176"/>
      <c r="G32" s="210"/>
      <c r="I32" s="208"/>
      <c r="J32" s="208"/>
      <c r="K32" s="208"/>
      <c r="L32" s="208"/>
      <c r="M32" s="208"/>
    </row>
    <row r="33" spans="9:13">
      <c r="I33" s="208"/>
      <c r="J33" s="208"/>
      <c r="K33" s="208"/>
      <c r="L33" s="208"/>
      <c r="M33" s="208"/>
    </row>
    <row r="34" ht="24.95" customHeight="1" spans="3:13">
      <c r="C34" s="221" t="str">
        <f>IF(D31&gt;E31,"建议采用自制决策","建议采用外购决策")</f>
        <v>建议采用自制决策</v>
      </c>
      <c r="D34" s="221"/>
      <c r="E34" s="221"/>
      <c r="F34" s="221"/>
      <c r="I34" s="208"/>
      <c r="J34" s="208"/>
      <c r="K34" s="208"/>
      <c r="M34" s="208"/>
    </row>
    <row r="35" spans="9:13">
      <c r="I35" s="208"/>
      <c r="J35" s="208"/>
      <c r="K35" s="208"/>
      <c r="M35" s="208"/>
    </row>
  </sheetData>
  <mergeCells count="7">
    <mergeCell ref="A1:O1"/>
    <mergeCell ref="A2:C2"/>
    <mergeCell ref="D2:E2"/>
    <mergeCell ref="E19:F19"/>
    <mergeCell ref="C20:D20"/>
    <mergeCell ref="C34:F34"/>
    <mergeCell ref="C27:C28"/>
  </mergeCells>
  <pageMargins left="0.75" right="0.75" top="1" bottom="1" header="0.509027777777778" footer="0.509027777777778"/>
  <headerFooter/>
  <drawing r:id="rId1"/>
  <legacyDrawing r:id="rId2"/>
  <mc:AlternateContent xmlns:mc="http://schemas.openxmlformats.org/markup-compatibility/2006">
    <mc:Choice Requires="x14">
      <controls>
        <mc:AlternateContent xmlns:mc="http://schemas.openxmlformats.org/markup-compatibility/2006">
          <mc:Choice Requires="x14">
            <control shapeId="230401" name="Spinner 1" r:id="rId3">
              <controlPr defaultSize="0">
                <anchor moveWithCells="1" sizeWithCells="1">
                  <from>
                    <xdr:col>3</xdr:col>
                    <xdr:colOff>839470</xdr:colOff>
                    <xdr:row>20</xdr:row>
                    <xdr:rowOff>0</xdr:rowOff>
                  </from>
                  <to>
                    <xdr:col>4</xdr:col>
                    <xdr:colOff>6985</xdr:colOff>
                    <xdr:row>20</xdr:row>
                    <xdr:rowOff>133350</xdr:rowOff>
                  </to>
                </anchor>
              </controlPr>
            </control>
          </mc:Choice>
        </mc:AlternateContent>
        <mc:AlternateContent xmlns:mc="http://schemas.openxmlformats.org/markup-compatibility/2006">
          <mc:Choice Requires="x14">
            <control shapeId="230402" name="Spinner 2" r:id="rId4">
              <controlPr defaultSize="0">
                <anchor moveWithCells="1" sizeWithCells="1">
                  <from>
                    <xdr:col>3</xdr:col>
                    <xdr:colOff>832485</xdr:colOff>
                    <xdr:row>21</xdr:row>
                    <xdr:rowOff>0</xdr:rowOff>
                  </from>
                  <to>
                    <xdr:col>4</xdr:col>
                    <xdr:colOff>0</xdr:colOff>
                    <xdr:row>21</xdr:row>
                    <xdr:rowOff>133350</xdr:rowOff>
                  </to>
                </anchor>
              </controlPr>
            </control>
          </mc:Choice>
        </mc:AlternateContent>
        <mc:AlternateContent xmlns:mc="http://schemas.openxmlformats.org/markup-compatibility/2006">
          <mc:Choice Requires="x14">
            <control shapeId="230403" name="Spinner 3" r:id="rId5">
              <controlPr defaultSize="0">
                <anchor moveWithCells="1" sizeWithCells="1">
                  <from>
                    <xdr:col>3</xdr:col>
                    <xdr:colOff>817245</xdr:colOff>
                    <xdr:row>22</xdr:row>
                    <xdr:rowOff>6985</xdr:rowOff>
                  </from>
                  <to>
                    <xdr:col>3</xdr:col>
                    <xdr:colOff>921385</xdr:colOff>
                    <xdr:row>23</xdr:row>
                    <xdr:rowOff>0</xdr:rowOff>
                  </to>
                </anchor>
              </controlPr>
            </control>
          </mc:Choice>
        </mc:AlternateContent>
        <mc:AlternateContent xmlns:mc="http://schemas.openxmlformats.org/markup-compatibility/2006">
          <mc:Choice Requires="x14">
            <control shapeId="230404" name="Spinner 4" r:id="rId6">
              <controlPr defaultSize="0">
                <anchor moveWithCells="1" sizeWithCells="1">
                  <from>
                    <xdr:col>5</xdr:col>
                    <xdr:colOff>817245</xdr:colOff>
                    <xdr:row>19</xdr:row>
                    <xdr:rowOff>6985</xdr:rowOff>
                  </from>
                  <to>
                    <xdr:col>5</xdr:col>
                    <xdr:colOff>921385</xdr:colOff>
                    <xdr:row>20</xdr:row>
                    <xdr:rowOff>0</xdr:rowOff>
                  </to>
                </anchor>
              </controlPr>
            </control>
          </mc:Choice>
        </mc:AlternateContent>
        <mc:AlternateContent xmlns:mc="http://schemas.openxmlformats.org/markup-compatibility/2006">
          <mc:Choice Requires="x14">
            <control shapeId="230405" name="Spinner 5" r:id="rId7">
              <controlPr defaultSize="0">
                <anchor moveWithCells="1" sizeWithCells="1">
                  <from>
                    <xdr:col>5</xdr:col>
                    <xdr:colOff>817245</xdr:colOff>
                    <xdr:row>20</xdr:row>
                    <xdr:rowOff>6985</xdr:rowOff>
                  </from>
                  <to>
                    <xdr:col>5</xdr:col>
                    <xdr:colOff>921385</xdr:colOff>
                    <xdr:row>21</xdr:row>
                    <xdr:rowOff>0</xdr:rowOff>
                  </to>
                </anchor>
              </controlPr>
            </control>
          </mc:Choice>
        </mc:AlternateContent>
        <mc:AlternateContent xmlns:mc="http://schemas.openxmlformats.org/markup-compatibility/2006">
          <mc:Choice Requires="x14">
            <control shapeId="230406" name="Spinner 6" r:id="rId8">
              <controlPr defaultSize="0">
                <anchor moveWithCells="1" sizeWithCells="1">
                  <from>
                    <xdr:col>5</xdr:col>
                    <xdr:colOff>817245</xdr:colOff>
                    <xdr:row>21</xdr:row>
                    <xdr:rowOff>0</xdr:rowOff>
                  </from>
                  <to>
                    <xdr:col>5</xdr:col>
                    <xdr:colOff>914400</xdr:colOff>
                    <xdr:row>21</xdr:row>
                    <xdr:rowOff>133350</xdr:rowOff>
                  </to>
                </anchor>
              </controlPr>
            </control>
          </mc:Choice>
        </mc:AlternateContent>
        <mc:AlternateContent xmlns:mc="http://schemas.openxmlformats.org/markup-compatibility/2006">
          <mc:Choice Requires="x14">
            <control shapeId="230407" name="Spinner 7" r:id="rId9">
              <controlPr defaultSize="0">
                <anchor moveWithCells="1" sizeWithCells="1">
                  <from>
                    <xdr:col>5</xdr:col>
                    <xdr:colOff>817245</xdr:colOff>
                    <xdr:row>22</xdr:row>
                    <xdr:rowOff>6985</xdr:rowOff>
                  </from>
                  <to>
                    <xdr:col>5</xdr:col>
                    <xdr:colOff>914400</xdr:colOff>
                    <xdr:row>23</xdr:row>
                    <xdr:rowOff>0</xdr:rowOff>
                  </to>
                </anchor>
              </controlPr>
            </control>
          </mc:Choice>
        </mc:AlternateContent>
        <mc:AlternateContent xmlns:mc="http://schemas.openxmlformats.org/markup-compatibility/2006">
          <mc:Choice Requires="x14">
            <control shapeId="230408" name="Spinner 8" r:id="rId10">
              <controlPr defaultSize="0">
                <anchor moveWithCells="1" sizeWithCells="1">
                  <from>
                    <xdr:col>3</xdr:col>
                    <xdr:colOff>839470</xdr:colOff>
                    <xdr:row>20</xdr:row>
                    <xdr:rowOff>0</xdr:rowOff>
                  </from>
                  <to>
                    <xdr:col>4</xdr:col>
                    <xdr:colOff>6985</xdr:colOff>
                    <xdr:row>20</xdr:row>
                    <xdr:rowOff>133350</xdr:rowOff>
                  </to>
                </anchor>
              </controlPr>
            </control>
          </mc:Choice>
        </mc:AlternateContent>
        <mc:AlternateContent xmlns:mc="http://schemas.openxmlformats.org/markup-compatibility/2006">
          <mc:Choice Requires="x14">
            <control shapeId="230410" name="Spinner 9" r:id="rId11">
              <controlPr defaultSize="0">
                <anchor moveWithCells="1" sizeWithCells="1">
                  <from>
                    <xdr:col>3</xdr:col>
                    <xdr:colOff>832485</xdr:colOff>
                    <xdr:row>21</xdr:row>
                    <xdr:rowOff>0</xdr:rowOff>
                  </from>
                  <to>
                    <xdr:col>4</xdr:col>
                    <xdr:colOff>0</xdr:colOff>
                    <xdr:row>21</xdr:row>
                    <xdr:rowOff>133350</xdr:rowOff>
                  </to>
                </anchor>
              </controlPr>
            </control>
          </mc:Choice>
        </mc:AlternateContent>
        <mc:AlternateContent xmlns:mc="http://schemas.openxmlformats.org/markup-compatibility/2006">
          <mc:Choice Requires="x14">
            <control shapeId="230411" name="Spinner 11" r:id="rId12">
              <controlPr defaultSize="0">
                <anchor moveWithCells="1" sizeWithCells="1">
                  <from>
                    <xdr:col>3</xdr:col>
                    <xdr:colOff>817245</xdr:colOff>
                    <xdr:row>22</xdr:row>
                    <xdr:rowOff>6985</xdr:rowOff>
                  </from>
                  <to>
                    <xdr:col>3</xdr:col>
                    <xdr:colOff>921385</xdr:colOff>
                    <xdr:row>23</xdr:row>
                    <xdr:rowOff>0</xdr:rowOff>
                  </to>
                </anchor>
              </controlPr>
            </control>
          </mc:Choice>
        </mc:AlternateContent>
        <mc:AlternateContent xmlns:mc="http://schemas.openxmlformats.org/markup-compatibility/2006">
          <mc:Choice Requires="x14">
            <control shapeId="230412" name="Spinner 12" r:id="rId13">
              <controlPr defaultSize="0">
                <anchor moveWithCells="1" sizeWithCells="1">
                  <from>
                    <xdr:col>5</xdr:col>
                    <xdr:colOff>817245</xdr:colOff>
                    <xdr:row>19</xdr:row>
                    <xdr:rowOff>6985</xdr:rowOff>
                  </from>
                  <to>
                    <xdr:col>5</xdr:col>
                    <xdr:colOff>921385</xdr:colOff>
                    <xdr:row>20</xdr:row>
                    <xdr:rowOff>0</xdr:rowOff>
                  </to>
                </anchor>
              </controlPr>
            </control>
          </mc:Choice>
        </mc:AlternateContent>
        <mc:AlternateContent xmlns:mc="http://schemas.openxmlformats.org/markup-compatibility/2006">
          <mc:Choice Requires="x14">
            <control shapeId="230413" name="Spinner 13" r:id="rId14">
              <controlPr defaultSize="0">
                <anchor moveWithCells="1" sizeWithCells="1">
                  <from>
                    <xdr:col>5</xdr:col>
                    <xdr:colOff>817245</xdr:colOff>
                    <xdr:row>20</xdr:row>
                    <xdr:rowOff>6985</xdr:rowOff>
                  </from>
                  <to>
                    <xdr:col>5</xdr:col>
                    <xdr:colOff>921385</xdr:colOff>
                    <xdr:row>21</xdr:row>
                    <xdr:rowOff>0</xdr:rowOff>
                  </to>
                </anchor>
              </controlPr>
            </control>
          </mc:Choice>
        </mc:AlternateContent>
        <mc:AlternateContent xmlns:mc="http://schemas.openxmlformats.org/markup-compatibility/2006">
          <mc:Choice Requires="x14">
            <control shapeId="230414" name="Spinner 14" r:id="rId15">
              <controlPr defaultSize="0">
                <anchor moveWithCells="1" sizeWithCells="1">
                  <from>
                    <xdr:col>5</xdr:col>
                    <xdr:colOff>817245</xdr:colOff>
                    <xdr:row>21</xdr:row>
                    <xdr:rowOff>0</xdr:rowOff>
                  </from>
                  <to>
                    <xdr:col>5</xdr:col>
                    <xdr:colOff>914400</xdr:colOff>
                    <xdr:row>21</xdr:row>
                    <xdr:rowOff>133350</xdr:rowOff>
                  </to>
                </anchor>
              </controlPr>
            </control>
          </mc:Choice>
        </mc:AlternateContent>
        <mc:AlternateContent xmlns:mc="http://schemas.openxmlformats.org/markup-compatibility/2006">
          <mc:Choice Requires="x14">
            <control shapeId="230415" name="Spinner 15" r:id="rId16">
              <controlPr defaultSize="0">
                <anchor moveWithCells="1" sizeWithCells="1">
                  <from>
                    <xdr:col>5</xdr:col>
                    <xdr:colOff>817245</xdr:colOff>
                    <xdr:row>22</xdr:row>
                    <xdr:rowOff>6985</xdr:rowOff>
                  </from>
                  <to>
                    <xdr:col>5</xdr:col>
                    <xdr:colOff>914400</xdr:colOff>
                    <xdr:row>23</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U51"/>
  <sheetViews>
    <sheetView showGridLines="0" zoomScale="90" zoomScaleNormal="90" workbookViewId="0">
      <selection activeCell="I53" sqref="$A1:$XFD65536"/>
    </sheetView>
  </sheetViews>
  <sheetFormatPr defaultColWidth="11" defaultRowHeight="17.25"/>
  <cols>
    <col min="1" max="1" width="2.75" style="147" customWidth="1"/>
    <col min="2" max="2" width="16.75" style="147" customWidth="1"/>
    <col min="3" max="9" width="10.625" style="147" customWidth="1"/>
    <col min="10" max="12" width="6.75" style="147" customWidth="1"/>
    <col min="13" max="13" width="10.25" style="147" customWidth="1"/>
    <col min="14" max="15" width="6.75" style="147" customWidth="1"/>
    <col min="16" max="16" width="12.75" style="147" customWidth="1"/>
    <col min="17" max="17" width="8" style="147" customWidth="1"/>
    <col min="18" max="18" width="6.75" style="147" customWidth="1"/>
    <col min="19" max="19" width="7.625" style="147" customWidth="1"/>
    <col min="20" max="255" width="9" style="147" customWidth="1"/>
    <col min="256" max="256" width="11" style="147" customWidth="1"/>
    <col min="257" max="16384" width="11" style="147"/>
  </cols>
  <sheetData>
    <row r="1" ht="29.25" spans="1:13">
      <c r="A1" s="148" t="s">
        <v>1367</v>
      </c>
      <c r="B1" s="148"/>
      <c r="C1" s="148"/>
      <c r="D1" s="148"/>
      <c r="E1" s="148"/>
      <c r="F1" s="148"/>
      <c r="G1" s="148"/>
      <c r="H1" s="148"/>
      <c r="I1" s="148"/>
      <c r="J1" s="148"/>
      <c r="K1" s="148"/>
      <c r="L1" s="148"/>
      <c r="M1" s="148"/>
    </row>
    <row r="2" ht="15" customHeight="1" spans="1:10">
      <c r="A2" s="149"/>
      <c r="B2" s="149"/>
      <c r="C2" s="149"/>
      <c r="D2" s="149"/>
      <c r="E2" s="149" t="str">
        <f>[1]资产负债表!C3</f>
        <v>年    月    日</v>
      </c>
      <c r="F2" s="149"/>
      <c r="G2" s="149"/>
      <c r="H2" s="149"/>
      <c r="I2" s="149" t="s">
        <v>605</v>
      </c>
      <c r="J2" s="187"/>
    </row>
    <row r="3" spans="7:13">
      <c r="G3" s="146"/>
      <c r="L3" s="188"/>
      <c r="M3" s="165">
        <f>C36</f>
        <v>18816.3846525536</v>
      </c>
    </row>
    <row r="4" spans="12:13">
      <c r="L4" s="189">
        <v>0</v>
      </c>
      <c r="M4" s="165">
        <v>14936.6136447518</v>
      </c>
    </row>
    <row r="5" spans="12:13">
      <c r="L5" s="189">
        <v>0.1</v>
      </c>
      <c r="M5" s="165">
        <v>19975.0699440302</v>
      </c>
    </row>
    <row r="6" spans="12:13">
      <c r="L6" s="189">
        <v>0.2</v>
      </c>
      <c r="M6" s="165">
        <v>27124.1646895639</v>
      </c>
    </row>
    <row r="7" spans="12:20">
      <c r="L7" s="189">
        <v>0.3</v>
      </c>
      <c r="M7" s="165">
        <v>36999.3610973339</v>
      </c>
      <c r="T7" s="192"/>
    </row>
    <row r="8" spans="12:20">
      <c r="L8" s="189">
        <v>0.4</v>
      </c>
      <c r="M8" s="165">
        <v>50326.3811383928</v>
      </c>
      <c r="T8" s="192"/>
    </row>
    <row r="9" spans="12:20">
      <c r="L9" s="189">
        <v>0.5</v>
      </c>
      <c r="M9" s="165">
        <v>67950.3297627046</v>
      </c>
      <c r="T9" s="192"/>
    </row>
    <row r="10" spans="12:13">
      <c r="L10" s="189">
        <v>0.6</v>
      </c>
      <c r="M10" s="165">
        <v>90844.8191229844</v>
      </c>
    </row>
    <row r="11" spans="12:13">
      <c r="L11" s="189">
        <v>0.7</v>
      </c>
      <c r="M11" s="165">
        <v>120121.092798539</v>
      </c>
    </row>
    <row r="12" spans="12:13">
      <c r="L12" s="189">
        <v>0.8</v>
      </c>
      <c r="M12" s="165">
        <v>157037.150019105</v>
      </c>
    </row>
    <row r="13" spans="12:13">
      <c r="L13" s="189">
        <v>0.9</v>
      </c>
      <c r="M13" s="165">
        <v>203006.869888691</v>
      </c>
    </row>
    <row r="14" spans="12:13">
      <c r="L14" s="189">
        <v>1</v>
      </c>
      <c r="M14" s="165">
        <v>259609.135609419</v>
      </c>
    </row>
    <row r="17" ht="18" spans="1:21">
      <c r="A17" s="150"/>
      <c r="B17" s="151" t="s">
        <v>1368</v>
      </c>
      <c r="C17" s="150"/>
      <c r="D17" s="150"/>
      <c r="E17" s="150"/>
      <c r="Q17" s="154"/>
      <c r="R17" s="154"/>
      <c r="U17" s="154"/>
    </row>
    <row r="18" spans="1:21">
      <c r="A18" s="150"/>
      <c r="B18" s="152" t="s">
        <v>1369</v>
      </c>
      <c r="C18" s="153">
        <v>10000</v>
      </c>
      <c r="D18" s="154"/>
      <c r="E18" s="150"/>
      <c r="Q18" s="154"/>
      <c r="R18" s="154"/>
      <c r="U18" s="154"/>
    </row>
    <row r="19" spans="1:21">
      <c r="A19" s="150"/>
      <c r="B19" s="152" t="s">
        <v>1370</v>
      </c>
      <c r="C19" s="155">
        <f t="shared" ref="C19:C21" si="0">K19/100</f>
        <v>0.16</v>
      </c>
      <c r="D19" s="156"/>
      <c r="E19" s="150"/>
      <c r="K19" s="147">
        <v>16</v>
      </c>
      <c r="Q19" s="154"/>
      <c r="R19" s="154"/>
      <c r="U19" s="154"/>
    </row>
    <row r="20" spans="1:21">
      <c r="A20" s="150"/>
      <c r="B20" s="152" t="s">
        <v>1371</v>
      </c>
      <c r="C20" s="155">
        <f t="shared" si="0"/>
        <v>0.65</v>
      </c>
      <c r="D20" s="154"/>
      <c r="E20" s="150"/>
      <c r="K20" s="147">
        <v>65</v>
      </c>
      <c r="Q20" s="154"/>
      <c r="R20" s="154"/>
      <c r="U20" s="154"/>
    </row>
    <row r="21" spans="1:21">
      <c r="A21" s="150"/>
      <c r="B21" s="152" t="s">
        <v>1042</v>
      </c>
      <c r="C21" s="155">
        <f t="shared" si="0"/>
        <v>0.25</v>
      </c>
      <c r="D21" s="154"/>
      <c r="E21" s="150"/>
      <c r="K21" s="147">
        <v>25</v>
      </c>
      <c r="Q21" s="154"/>
      <c r="R21" s="154"/>
      <c r="U21" s="154"/>
    </row>
    <row r="22" spans="1:21">
      <c r="A22" s="150"/>
      <c r="B22" s="157"/>
      <c r="C22" s="158"/>
      <c r="D22" s="158"/>
      <c r="E22" s="150"/>
      <c r="Q22" s="154"/>
      <c r="R22" s="154"/>
      <c r="U22" s="154"/>
    </row>
    <row r="23" spans="1:21">
      <c r="A23" s="150"/>
      <c r="B23" s="159"/>
      <c r="C23" s="152" t="s">
        <v>225</v>
      </c>
      <c r="D23" s="152" t="s">
        <v>1372</v>
      </c>
      <c r="E23" s="150"/>
      <c r="F23" s="146"/>
      <c r="Q23" s="154"/>
      <c r="R23" s="154"/>
      <c r="U23" s="154"/>
    </row>
    <row r="24" spans="1:21">
      <c r="A24" s="150"/>
      <c r="B24" s="152" t="s">
        <v>1373</v>
      </c>
      <c r="C24" s="160">
        <f>K24/100</f>
        <v>0.08</v>
      </c>
      <c r="D24" s="160">
        <f>L24/100</f>
        <v>0.12</v>
      </c>
      <c r="E24" s="150"/>
      <c r="F24" s="146"/>
      <c r="K24" s="147">
        <v>8</v>
      </c>
      <c r="L24" s="147">
        <v>12</v>
      </c>
      <c r="Q24" s="154"/>
      <c r="R24" s="193"/>
      <c r="U24" s="154"/>
    </row>
    <row r="25" spans="1:21">
      <c r="A25" s="150"/>
      <c r="B25" s="152" t="s">
        <v>1374</v>
      </c>
      <c r="C25" s="160">
        <f>K25/100</f>
        <v>0.05</v>
      </c>
      <c r="D25" s="160">
        <f>L25/100</f>
        <v>0.1</v>
      </c>
      <c r="E25" s="150"/>
      <c r="F25" s="146"/>
      <c r="K25" s="147">
        <v>5</v>
      </c>
      <c r="L25" s="147">
        <v>10</v>
      </c>
      <c r="Q25" s="154"/>
      <c r="R25" s="193"/>
      <c r="U25" s="154"/>
    </row>
    <row r="26" spans="1:21">
      <c r="A26" s="150"/>
      <c r="B26" s="161" t="s">
        <v>1375</v>
      </c>
      <c r="C26" s="158"/>
      <c r="D26" s="158"/>
      <c r="E26" s="158"/>
      <c r="F26" s="158"/>
      <c r="G26" s="158"/>
      <c r="H26" s="162"/>
      <c r="I26" s="158"/>
      <c r="J26" s="150"/>
      <c r="R26" s="154"/>
      <c r="U26" s="154"/>
    </row>
    <row r="27" spans="1:21">
      <c r="A27" s="150"/>
      <c r="B27" s="163" t="s">
        <v>1051</v>
      </c>
      <c r="C27" s="163" t="s">
        <v>1376</v>
      </c>
      <c r="D27" s="163" t="s">
        <v>1377</v>
      </c>
      <c r="E27" s="164" t="s">
        <v>1378</v>
      </c>
      <c r="F27" s="163" t="s">
        <v>1379</v>
      </c>
      <c r="G27" s="163" t="s">
        <v>1380</v>
      </c>
      <c r="H27" s="163" t="s">
        <v>1381</v>
      </c>
      <c r="I27" s="163" t="s">
        <v>1382</v>
      </c>
      <c r="J27" s="150"/>
      <c r="R27" s="154"/>
      <c r="U27" s="154"/>
    </row>
    <row r="28" spans="1:21">
      <c r="A28" s="150"/>
      <c r="B28" s="152" t="s">
        <v>525</v>
      </c>
      <c r="C28" s="165">
        <f>C18</f>
        <v>10000</v>
      </c>
      <c r="D28" s="165">
        <f>C28*(1+$C$24)</f>
        <v>10800</v>
      </c>
      <c r="E28" s="166">
        <f>D28*(1+$C$24)</f>
        <v>11664</v>
      </c>
      <c r="F28" s="165">
        <f>E28*(1+$C$24)</f>
        <v>12597.12</v>
      </c>
      <c r="G28" s="165">
        <f>F28*(1+$C$24)</f>
        <v>13604.8896</v>
      </c>
      <c r="H28" s="165">
        <f>G28*(1+$C$24)</f>
        <v>14693.280768</v>
      </c>
      <c r="I28" s="165">
        <f>H28*(1+C25)</f>
        <v>15427.9448064</v>
      </c>
      <c r="J28" s="150"/>
      <c r="R28" s="154"/>
      <c r="S28" s="194"/>
      <c r="T28" s="154"/>
      <c r="U28" s="154"/>
    </row>
    <row r="29" spans="1:21">
      <c r="A29" s="150"/>
      <c r="B29" s="152" t="s">
        <v>1383</v>
      </c>
      <c r="C29" s="165">
        <f t="shared" ref="C29:I29" si="1">C28*$C$19</f>
        <v>1600</v>
      </c>
      <c r="D29" s="165">
        <f t="shared" si="1"/>
        <v>1728</v>
      </c>
      <c r="E29" s="167">
        <f t="shared" si="1"/>
        <v>1866.24</v>
      </c>
      <c r="F29" s="165">
        <f t="shared" si="1"/>
        <v>2015.5392</v>
      </c>
      <c r="G29" s="165">
        <f t="shared" si="1"/>
        <v>2176.782336</v>
      </c>
      <c r="H29" s="165">
        <f t="shared" si="1"/>
        <v>2350.92492288</v>
      </c>
      <c r="I29" s="165">
        <f t="shared" si="1"/>
        <v>2468.471169024</v>
      </c>
      <c r="J29" s="150"/>
      <c r="R29" s="194"/>
      <c r="S29" s="154"/>
      <c r="T29" s="154"/>
      <c r="U29" s="154"/>
    </row>
    <row r="30" spans="1:10">
      <c r="A30" s="150"/>
      <c r="B30" s="152" t="s">
        <v>1384</v>
      </c>
      <c r="C30" s="165">
        <f t="shared" ref="C30:I30" si="2">C29*(1-$C$21)</f>
        <v>1200</v>
      </c>
      <c r="D30" s="165">
        <f t="shared" si="2"/>
        <v>1296</v>
      </c>
      <c r="E30" s="167">
        <f t="shared" si="2"/>
        <v>1399.68</v>
      </c>
      <c r="F30" s="165">
        <f t="shared" si="2"/>
        <v>1511.6544</v>
      </c>
      <c r="G30" s="165">
        <f t="shared" si="2"/>
        <v>1632.586752</v>
      </c>
      <c r="H30" s="165">
        <f t="shared" si="2"/>
        <v>1763.19369216</v>
      </c>
      <c r="I30" s="165">
        <f t="shared" si="2"/>
        <v>1851.353376768</v>
      </c>
      <c r="J30" s="150"/>
    </row>
    <row r="31" spans="1:10">
      <c r="A31" s="150"/>
      <c r="B31" s="152" t="s">
        <v>1385</v>
      </c>
      <c r="C31" s="165">
        <f t="shared" ref="C31:I31" si="3">C28*$C$20</f>
        <v>6500</v>
      </c>
      <c r="D31" s="165">
        <f t="shared" si="3"/>
        <v>7020</v>
      </c>
      <c r="E31" s="167">
        <f t="shared" si="3"/>
        <v>7581.6</v>
      </c>
      <c r="F31" s="165">
        <f t="shared" si="3"/>
        <v>8188.128</v>
      </c>
      <c r="G31" s="165">
        <f t="shared" si="3"/>
        <v>8843.17824</v>
      </c>
      <c r="H31" s="165">
        <f t="shared" si="3"/>
        <v>9550.6324992</v>
      </c>
      <c r="I31" s="165">
        <f t="shared" si="3"/>
        <v>10028.16412416</v>
      </c>
      <c r="J31" s="150"/>
    </row>
    <row r="32" spans="1:10">
      <c r="A32" s="150"/>
      <c r="B32" s="152" t="s">
        <v>1386</v>
      </c>
      <c r="C32" s="1152" t="s">
        <v>1387</v>
      </c>
      <c r="D32" s="165">
        <f t="shared" ref="D32:I32" si="4">D31-C31</f>
        <v>520</v>
      </c>
      <c r="E32" s="167">
        <f t="shared" si="4"/>
        <v>561.6</v>
      </c>
      <c r="F32" s="165">
        <f t="shared" si="4"/>
        <v>606.528</v>
      </c>
      <c r="G32" s="165">
        <f t="shared" si="4"/>
        <v>655.05024</v>
      </c>
      <c r="H32" s="165">
        <f t="shared" si="4"/>
        <v>707.454259200002</v>
      </c>
      <c r="I32" s="165">
        <f t="shared" si="4"/>
        <v>477.53162496</v>
      </c>
      <c r="J32" s="150"/>
    </row>
    <row r="33" spans="1:10">
      <c r="A33" s="150"/>
      <c r="B33" s="152" t="s">
        <v>1388</v>
      </c>
      <c r="C33" s="1152" t="s">
        <v>1387</v>
      </c>
      <c r="D33" s="165">
        <f t="shared" ref="D33:I33" si="5">D30-D32</f>
        <v>776</v>
      </c>
      <c r="E33" s="167">
        <f t="shared" si="5"/>
        <v>838.08</v>
      </c>
      <c r="F33" s="165">
        <f t="shared" si="5"/>
        <v>905.1264</v>
      </c>
      <c r="G33" s="165">
        <f t="shared" si="5"/>
        <v>977.536512</v>
      </c>
      <c r="H33" s="165">
        <f t="shared" si="5"/>
        <v>1055.73943296</v>
      </c>
      <c r="I33" s="165">
        <f t="shared" si="5"/>
        <v>1373.821751808</v>
      </c>
      <c r="J33" s="150"/>
    </row>
    <row r="34" spans="1:10">
      <c r="A34" s="150"/>
      <c r="B34" s="152" t="s">
        <v>1389</v>
      </c>
      <c r="C34" s="1152" t="s">
        <v>1387</v>
      </c>
      <c r="D34" s="165">
        <f>D33/(1+$D$24)^1</f>
        <v>692.857142857143</v>
      </c>
      <c r="E34" s="167">
        <f>E33/(1+$D$24)^2</f>
        <v>668.112244897959</v>
      </c>
      <c r="F34" s="165">
        <f>F33/(1+$D$24)^3</f>
        <v>644.25109329446</v>
      </c>
      <c r="G34" s="165">
        <f>G33/(1+$D$24)^4</f>
        <v>621.242125676801</v>
      </c>
      <c r="H34" s="165">
        <f>H33/(1+$D$24)^5</f>
        <v>599.054906902629</v>
      </c>
      <c r="I34" s="1152" t="s">
        <v>1387</v>
      </c>
      <c r="J34" s="150"/>
    </row>
    <row r="35" spans="1:10">
      <c r="A35" s="150"/>
      <c r="B35" s="152" t="s">
        <v>1390</v>
      </c>
      <c r="C35" s="1152" t="s">
        <v>1387</v>
      </c>
      <c r="D35" s="1152" t="s">
        <v>1387</v>
      </c>
      <c r="E35" s="1153" t="s">
        <v>1387</v>
      </c>
      <c r="F35" s="1153" t="s">
        <v>1387</v>
      </c>
      <c r="G35" s="1152" t="s">
        <v>1387</v>
      </c>
      <c r="H35" s="1152" t="s">
        <v>1387</v>
      </c>
      <c r="I35" s="165">
        <f>I33/(D25-C25)/(1+D24)^5</f>
        <v>15590.8671389246</v>
      </c>
      <c r="J35" s="150"/>
    </row>
    <row r="36" spans="1:10">
      <c r="A36" s="150"/>
      <c r="B36" s="163" t="s">
        <v>1391</v>
      </c>
      <c r="C36" s="170">
        <f>SUM(D34:H34)+I35</f>
        <v>18816.3846525536</v>
      </c>
      <c r="D36" s="171"/>
      <c r="E36" s="171"/>
      <c r="F36" s="171"/>
      <c r="G36" s="171"/>
      <c r="H36" s="171"/>
      <c r="I36" s="190"/>
      <c r="J36" s="150"/>
    </row>
    <row r="37" spans="1:10">
      <c r="A37" s="150"/>
      <c r="B37" s="161" t="s">
        <v>1392</v>
      </c>
      <c r="C37" s="172"/>
      <c r="D37" s="172"/>
      <c r="E37" s="172"/>
      <c r="F37" s="172"/>
      <c r="G37" s="172"/>
      <c r="H37" s="172"/>
      <c r="I37" s="158"/>
      <c r="J37" s="158"/>
    </row>
    <row r="38" spans="1:10">
      <c r="A38" s="150"/>
      <c r="B38" s="163" t="s">
        <v>1051</v>
      </c>
      <c r="C38" s="173" t="s">
        <v>1376</v>
      </c>
      <c r="D38" s="173" t="s">
        <v>1377</v>
      </c>
      <c r="E38" s="174" t="s">
        <v>1378</v>
      </c>
      <c r="F38" s="173" t="s">
        <v>1379</v>
      </c>
      <c r="G38" s="173" t="s">
        <v>1380</v>
      </c>
      <c r="H38" s="173" t="s">
        <v>1381</v>
      </c>
      <c r="I38" s="173" t="s">
        <v>1382</v>
      </c>
      <c r="J38" s="158"/>
    </row>
    <row r="39" spans="1:10">
      <c r="A39" s="150"/>
      <c r="B39" s="152" t="s">
        <v>525</v>
      </c>
      <c r="C39" s="165">
        <f>C18</f>
        <v>10000</v>
      </c>
      <c r="D39" s="165">
        <f>C39*(1+$C$24)</f>
        <v>10800</v>
      </c>
      <c r="E39" s="175">
        <f>D39*(1+$C$24)</f>
        <v>11664</v>
      </c>
      <c r="F39" s="165">
        <f>E39*(1+$C$24)</f>
        <v>12597.12</v>
      </c>
      <c r="G39" s="165">
        <f>F39*(1+$C$24)</f>
        <v>13604.8896</v>
      </c>
      <c r="H39" s="165">
        <f>G39*(1+$C$24)</f>
        <v>14693.280768</v>
      </c>
      <c r="I39" s="165">
        <f>H39*(1+C25)</f>
        <v>15427.9448064</v>
      </c>
      <c r="J39" s="191"/>
    </row>
    <row r="40" spans="1:10">
      <c r="A40" s="150"/>
      <c r="B40" s="152" t="s">
        <v>1383</v>
      </c>
      <c r="C40" s="165">
        <f t="shared" ref="C40:I40" si="6">C39*$C$19</f>
        <v>1600</v>
      </c>
      <c r="D40" s="165">
        <f t="shared" si="6"/>
        <v>1728</v>
      </c>
      <c r="E40" s="175">
        <f t="shared" si="6"/>
        <v>1866.24</v>
      </c>
      <c r="F40" s="165">
        <f t="shared" si="6"/>
        <v>2015.5392</v>
      </c>
      <c r="G40" s="165">
        <f t="shared" si="6"/>
        <v>2176.782336</v>
      </c>
      <c r="H40" s="165">
        <f t="shared" si="6"/>
        <v>2350.92492288</v>
      </c>
      <c r="I40" s="165">
        <f t="shared" si="6"/>
        <v>2468.471169024</v>
      </c>
      <c r="J40" s="158"/>
    </row>
    <row r="41" spans="1:10">
      <c r="A41" s="150"/>
      <c r="B41" s="152" t="s">
        <v>1384</v>
      </c>
      <c r="C41" s="165">
        <f t="shared" ref="C41:I41" si="7">C40*(1-$C$21)</f>
        <v>1200</v>
      </c>
      <c r="D41" s="165">
        <f t="shared" si="7"/>
        <v>1296</v>
      </c>
      <c r="E41" s="175">
        <f t="shared" si="7"/>
        <v>1399.68</v>
      </c>
      <c r="F41" s="165">
        <f t="shared" si="7"/>
        <v>1511.6544</v>
      </c>
      <c r="G41" s="165">
        <f t="shared" si="7"/>
        <v>1632.586752</v>
      </c>
      <c r="H41" s="165">
        <f t="shared" si="7"/>
        <v>1763.19369216</v>
      </c>
      <c r="I41" s="165">
        <f t="shared" si="7"/>
        <v>1851.353376768</v>
      </c>
      <c r="J41" s="158"/>
    </row>
    <row r="42" spans="1:10">
      <c r="A42" s="150"/>
      <c r="B42" s="152" t="s">
        <v>1385</v>
      </c>
      <c r="C42" s="165">
        <f t="shared" ref="C42:I42" si="8">C39*$C$20</f>
        <v>6500</v>
      </c>
      <c r="D42" s="165">
        <f t="shared" si="8"/>
        <v>7020</v>
      </c>
      <c r="E42" s="175">
        <f t="shared" si="8"/>
        <v>7581.6</v>
      </c>
      <c r="F42" s="165">
        <f t="shared" si="8"/>
        <v>8188.128</v>
      </c>
      <c r="G42" s="165">
        <f t="shared" si="8"/>
        <v>8843.17824</v>
      </c>
      <c r="H42" s="165">
        <f t="shared" si="8"/>
        <v>9550.6324992</v>
      </c>
      <c r="I42" s="165">
        <f t="shared" si="8"/>
        <v>10028.16412416</v>
      </c>
      <c r="J42" s="158"/>
    </row>
    <row r="43" spans="1:10">
      <c r="A43" s="150"/>
      <c r="B43" s="152" t="s">
        <v>1393</v>
      </c>
      <c r="C43" s="1152" t="s">
        <v>1387</v>
      </c>
      <c r="D43" s="165">
        <f>D41-C42*$D$24</f>
        <v>516</v>
      </c>
      <c r="E43" s="175">
        <f>E41-D42*$D$24</f>
        <v>557.28</v>
      </c>
      <c r="F43" s="165">
        <f>F41-E42*$D$24</f>
        <v>601.8624</v>
      </c>
      <c r="G43" s="165">
        <f>G41-F42*$D$24</f>
        <v>650.011392</v>
      </c>
      <c r="H43" s="165">
        <f>H41-G42*$D$24</f>
        <v>702.01230336</v>
      </c>
      <c r="I43" s="165">
        <f>I41-H42*$D$25</f>
        <v>896.290126848</v>
      </c>
      <c r="J43" s="158"/>
    </row>
    <row r="44" spans="1:10">
      <c r="A44" s="150"/>
      <c r="B44" s="152" t="s">
        <v>1394</v>
      </c>
      <c r="C44" s="1152" t="s">
        <v>1387</v>
      </c>
      <c r="D44" s="165">
        <f>D43/(1+$D$24)^1</f>
        <v>460.714285714286</v>
      </c>
      <c r="E44" s="175">
        <f>E43/(1+$D$24)^2</f>
        <v>444.260204081633</v>
      </c>
      <c r="F44" s="165">
        <f>F43/(1+$D$24)^3</f>
        <v>428.393768221574</v>
      </c>
      <c r="G44" s="165">
        <f>G43/(1+$D$24)^4</f>
        <v>413.093990785089</v>
      </c>
      <c r="H44" s="165">
        <f>H43/(1+$D$24)^5</f>
        <v>398.340633971336</v>
      </c>
      <c r="I44" s="1152" t="s">
        <v>1387</v>
      </c>
      <c r="J44" s="158"/>
    </row>
    <row r="45" spans="1:10">
      <c r="A45" s="150"/>
      <c r="B45" s="152" t="s">
        <v>1390</v>
      </c>
      <c r="C45" s="1152" t="s">
        <v>1387</v>
      </c>
      <c r="D45" s="1152" t="s">
        <v>1387</v>
      </c>
      <c r="E45" s="1153" t="s">
        <v>1387</v>
      </c>
      <c r="F45" s="1153" t="s">
        <v>1387</v>
      </c>
      <c r="G45" s="1152" t="s">
        <v>1387</v>
      </c>
      <c r="H45" s="1152" t="s">
        <v>1387</v>
      </c>
      <c r="I45" s="165">
        <f>I43/(D25-C25)/(1+D24)^5</f>
        <v>10171.5817697797</v>
      </c>
      <c r="J45" s="158"/>
    </row>
    <row r="46" spans="1:10">
      <c r="A46" s="150"/>
      <c r="B46" s="163" t="s">
        <v>1391</v>
      </c>
      <c r="C46" s="170">
        <f>C42+SUM(D44:H44)+I45</f>
        <v>18816.3846525536</v>
      </c>
      <c r="D46" s="171"/>
      <c r="E46" s="171"/>
      <c r="F46" s="171"/>
      <c r="G46" s="171"/>
      <c r="H46" s="171"/>
      <c r="I46" s="190"/>
      <c r="J46" s="158"/>
    </row>
    <row r="47" spans="1:10">
      <c r="A47" s="150"/>
      <c r="B47" s="150"/>
      <c r="C47" s="150"/>
      <c r="D47" s="150"/>
      <c r="E47" s="150"/>
      <c r="F47" s="150"/>
      <c r="G47" s="150"/>
      <c r="H47" s="150"/>
      <c r="I47" s="150"/>
      <c r="J47" s="150"/>
    </row>
    <row r="48" ht="18" spans="1:10">
      <c r="A48" s="176"/>
      <c r="B48" s="177" t="s">
        <v>1395</v>
      </c>
      <c r="C48" s="178"/>
      <c r="D48" s="179"/>
      <c r="E48" s="179"/>
      <c r="F48" s="180" t="s">
        <v>1363</v>
      </c>
      <c r="G48" s="181"/>
      <c r="H48" s="181"/>
      <c r="I48" s="181"/>
      <c r="J48" s="181"/>
    </row>
    <row r="49" spans="1:10">
      <c r="A49" s="176"/>
      <c r="B49" s="163" t="s">
        <v>75</v>
      </c>
      <c r="C49" s="182" t="str">
        <f>ROUND(C36,2)&amp;"万元"</f>
        <v>18816.38万元</v>
      </c>
      <c r="D49" s="182"/>
      <c r="E49" s="170"/>
      <c r="F49" s="180"/>
      <c r="G49" s="181"/>
      <c r="H49" s="181"/>
      <c r="I49" s="181"/>
      <c r="J49" s="181"/>
    </row>
    <row r="50" spans="1:10">
      <c r="A50" s="176"/>
      <c r="B50" s="176"/>
      <c r="C50" s="176"/>
      <c r="D50" s="183"/>
      <c r="E50" s="183"/>
      <c r="F50" s="180"/>
      <c r="G50" s="181"/>
      <c r="H50" s="181"/>
      <c r="I50" s="181"/>
      <c r="J50" s="181"/>
    </row>
    <row r="51" s="146" customFormat="1" ht="18" spans="4:10">
      <c r="D51" s="184"/>
      <c r="E51" s="184"/>
      <c r="F51" s="185"/>
      <c r="G51" s="186"/>
      <c r="H51" s="186"/>
      <c r="I51" s="186"/>
      <c r="J51" s="186"/>
    </row>
  </sheetData>
  <mergeCells count="10">
    <mergeCell ref="A1:M1"/>
    <mergeCell ref="A2:C2"/>
    <mergeCell ref="E2:F2"/>
    <mergeCell ref="C36:I36"/>
    <mergeCell ref="C46:I46"/>
    <mergeCell ref="D48:E48"/>
    <mergeCell ref="C49:E49"/>
    <mergeCell ref="D50:E50"/>
    <mergeCell ref="F48:F50"/>
    <mergeCell ref="G48:J50"/>
  </mergeCells>
  <pageMargins left="0.75" right="0.75" top="1" bottom="1" header="0.509027777777778" footer="0.509027777777778"/>
  <headerFooter/>
  <drawing r:id="rId1"/>
  <legacyDrawing r:id="rId2"/>
  <mc:AlternateContent xmlns:mc="http://schemas.openxmlformats.org/markup-compatibility/2006">
    <mc:Choice Requires="x14">
      <controls>
        <mc:AlternateContent xmlns:mc="http://schemas.openxmlformats.org/markup-compatibility/2006">
          <mc:Choice Requires="x14">
            <control shapeId="231425" name="Spinner 1" r:id="rId3">
              <controlPr defaultSize="0">
                <anchor moveWithCells="1" sizeWithCells="1">
                  <from>
                    <xdr:col>2</xdr:col>
                    <xdr:colOff>527685</xdr:colOff>
                    <xdr:row>23</xdr:row>
                    <xdr:rowOff>0</xdr:rowOff>
                  </from>
                  <to>
                    <xdr:col>2</xdr:col>
                    <xdr:colOff>624205</xdr:colOff>
                    <xdr:row>23</xdr:row>
                    <xdr:rowOff>133350</xdr:rowOff>
                  </to>
                </anchor>
              </controlPr>
            </control>
          </mc:Choice>
        </mc:AlternateContent>
        <mc:AlternateContent xmlns:mc="http://schemas.openxmlformats.org/markup-compatibility/2006">
          <mc:Choice Requires="x14">
            <control shapeId="231426" name="Spinner 2" r:id="rId4">
              <controlPr defaultSize="0">
                <anchor moveWithCells="1" sizeWithCells="1">
                  <from>
                    <xdr:col>3</xdr:col>
                    <xdr:colOff>505460</xdr:colOff>
                    <xdr:row>22</xdr:row>
                    <xdr:rowOff>133350</xdr:rowOff>
                  </from>
                  <to>
                    <xdr:col>4</xdr:col>
                    <xdr:colOff>0</xdr:colOff>
                    <xdr:row>23</xdr:row>
                    <xdr:rowOff>133350</xdr:rowOff>
                  </to>
                </anchor>
              </controlPr>
            </control>
          </mc:Choice>
        </mc:AlternateContent>
        <mc:AlternateContent xmlns:mc="http://schemas.openxmlformats.org/markup-compatibility/2006">
          <mc:Choice Requires="x14">
            <control shapeId="231427" name="Spinner 3" r:id="rId5">
              <controlPr defaultSize="0">
                <anchor moveWithCells="1" sizeWithCells="1">
                  <from>
                    <xdr:col>3</xdr:col>
                    <xdr:colOff>512445</xdr:colOff>
                    <xdr:row>23</xdr:row>
                    <xdr:rowOff>126365</xdr:rowOff>
                  </from>
                  <to>
                    <xdr:col>4</xdr:col>
                    <xdr:colOff>0</xdr:colOff>
                    <xdr:row>24</xdr:row>
                    <xdr:rowOff>133350</xdr:rowOff>
                  </to>
                </anchor>
              </controlPr>
            </control>
          </mc:Choice>
        </mc:AlternateContent>
        <mc:AlternateContent xmlns:mc="http://schemas.openxmlformats.org/markup-compatibility/2006">
          <mc:Choice Requires="x14">
            <control shapeId="231428" name="Spinner 4" r:id="rId6">
              <controlPr defaultSize="0">
                <anchor moveWithCells="1" sizeWithCells="1">
                  <from>
                    <xdr:col>2</xdr:col>
                    <xdr:colOff>534670</xdr:colOff>
                    <xdr:row>24</xdr:row>
                    <xdr:rowOff>14605</xdr:rowOff>
                  </from>
                  <to>
                    <xdr:col>3</xdr:col>
                    <xdr:colOff>0</xdr:colOff>
                    <xdr:row>25</xdr:row>
                    <xdr:rowOff>6985</xdr:rowOff>
                  </to>
                </anchor>
              </controlPr>
            </control>
          </mc:Choice>
        </mc:AlternateContent>
        <mc:AlternateContent xmlns:mc="http://schemas.openxmlformats.org/markup-compatibility/2006">
          <mc:Choice Requires="x14">
            <control shapeId="231429" name="Scroll Bar 5" r:id="rId7">
              <controlPr defaultSize="0">
                <anchor moveWithCells="1">
                  <from>
                    <xdr:col>3</xdr:col>
                    <xdr:colOff>6985</xdr:colOff>
                    <xdr:row>17</xdr:row>
                    <xdr:rowOff>14605</xdr:rowOff>
                  </from>
                  <to>
                    <xdr:col>3</xdr:col>
                    <xdr:colOff>624205</xdr:colOff>
                    <xdr:row>17</xdr:row>
                    <xdr:rowOff>148590</xdr:rowOff>
                  </to>
                </anchor>
              </controlPr>
            </control>
          </mc:Choice>
        </mc:AlternateContent>
        <mc:AlternateContent xmlns:mc="http://schemas.openxmlformats.org/markup-compatibility/2006">
          <mc:Choice Requires="x14">
            <control shapeId="231430" name="Scroll Bar 6" r:id="rId8">
              <controlPr defaultSize="0">
                <anchor moveWithCells="1">
                  <from>
                    <xdr:col>3</xdr:col>
                    <xdr:colOff>6985</xdr:colOff>
                    <xdr:row>18</xdr:row>
                    <xdr:rowOff>14605</xdr:rowOff>
                  </from>
                  <to>
                    <xdr:col>3</xdr:col>
                    <xdr:colOff>624205</xdr:colOff>
                    <xdr:row>18</xdr:row>
                    <xdr:rowOff>148590</xdr:rowOff>
                  </to>
                </anchor>
              </controlPr>
            </control>
          </mc:Choice>
        </mc:AlternateContent>
        <mc:AlternateContent xmlns:mc="http://schemas.openxmlformats.org/markup-compatibility/2006">
          <mc:Choice Requires="x14">
            <control shapeId="231431" name="Scroll Bar 7" r:id="rId9">
              <controlPr defaultSize="0">
                <anchor moveWithCells="1">
                  <from>
                    <xdr:col>3</xdr:col>
                    <xdr:colOff>6985</xdr:colOff>
                    <xdr:row>19</xdr:row>
                    <xdr:rowOff>14605</xdr:rowOff>
                  </from>
                  <to>
                    <xdr:col>3</xdr:col>
                    <xdr:colOff>624205</xdr:colOff>
                    <xdr:row>19</xdr:row>
                    <xdr:rowOff>163195</xdr:rowOff>
                  </to>
                </anchor>
              </controlPr>
            </control>
          </mc:Choice>
        </mc:AlternateContent>
        <mc:AlternateContent xmlns:mc="http://schemas.openxmlformats.org/markup-compatibility/2006">
          <mc:Choice Requires="x14">
            <control shapeId="231432" name="Scroll Bar 8" r:id="rId10">
              <controlPr defaultSize="0">
                <anchor moveWithCells="1">
                  <from>
                    <xdr:col>3</xdr:col>
                    <xdr:colOff>6985</xdr:colOff>
                    <xdr:row>20</xdr:row>
                    <xdr:rowOff>14605</xdr:rowOff>
                  </from>
                  <to>
                    <xdr:col>3</xdr:col>
                    <xdr:colOff>624205</xdr:colOff>
                    <xdr:row>20</xdr:row>
                    <xdr:rowOff>133350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N32"/>
  <sheetViews>
    <sheetView zoomScale="90" zoomScaleNormal="90" workbookViewId="0">
      <selection activeCell="B23" sqref="B23"/>
    </sheetView>
  </sheetViews>
  <sheetFormatPr defaultColWidth="9" defaultRowHeight="14.25"/>
  <cols>
    <col min="1" max="1" width="23.125" style="93" customWidth="1"/>
    <col min="2" max="2" width="46.75" style="93" customWidth="1"/>
    <col min="3" max="3" width="7" style="93" customWidth="1"/>
    <col min="4" max="4" width="6.625" style="93" customWidth="1"/>
    <col min="5" max="5" width="7.25" style="95" customWidth="1"/>
    <col min="6" max="6" width="6.625" style="96" customWidth="1"/>
    <col min="7" max="8" width="9" style="96" customWidth="1"/>
    <col min="9" max="10" width="9" style="97" customWidth="1"/>
    <col min="11" max="244" width="9" style="93" customWidth="1"/>
    <col min="245" max="16384" width="9" style="98"/>
  </cols>
  <sheetData>
    <row r="1" s="93" customFormat="1" ht="29.25" spans="1:11">
      <c r="A1" s="99" t="s">
        <v>1396</v>
      </c>
      <c r="B1" s="99"/>
      <c r="C1" s="99"/>
      <c r="D1" s="99"/>
      <c r="E1" s="100"/>
      <c r="F1" s="101"/>
      <c r="G1" s="101"/>
      <c r="H1" s="101"/>
      <c r="I1" s="99"/>
      <c r="J1" s="99"/>
      <c r="K1" s="99"/>
    </row>
    <row r="2" s="93" customFormat="1" ht="15" customHeight="1" spans="1:11">
      <c r="A2" s="102"/>
      <c r="B2" s="102"/>
      <c r="C2" s="103" t="s">
        <v>1397</v>
      </c>
      <c r="D2" s="103"/>
      <c r="E2" s="103"/>
      <c r="F2" s="103"/>
      <c r="G2" s="104" t="s">
        <v>1313</v>
      </c>
      <c r="H2" s="104"/>
      <c r="I2" s="104"/>
      <c r="J2" s="104"/>
      <c r="K2" s="104"/>
    </row>
    <row r="3" s="93" customFormat="1" ht="15.6" customHeight="1" spans="1:11">
      <c r="A3" s="105" t="s">
        <v>409</v>
      </c>
      <c r="B3" s="106" t="s">
        <v>841</v>
      </c>
      <c r="C3" s="105" t="s">
        <v>842</v>
      </c>
      <c r="D3" s="107" t="s">
        <v>856</v>
      </c>
      <c r="E3" s="108" t="s">
        <v>1398</v>
      </c>
      <c r="F3" s="109" t="s">
        <v>1399</v>
      </c>
      <c r="G3" s="110" t="s">
        <v>1400</v>
      </c>
      <c r="H3" s="110" t="s">
        <v>1401</v>
      </c>
      <c r="I3" s="105" t="s">
        <v>1402</v>
      </c>
      <c r="J3" s="105"/>
      <c r="K3" s="105" t="s">
        <v>1403</v>
      </c>
    </row>
    <row r="4" s="94" customFormat="1" ht="15.6" customHeight="1" spans="1:11">
      <c r="A4" s="105"/>
      <c r="B4" s="106"/>
      <c r="C4" s="105"/>
      <c r="D4" s="111"/>
      <c r="E4" s="108"/>
      <c r="F4" s="109"/>
      <c r="G4" s="110"/>
      <c r="H4" s="110"/>
      <c r="I4" s="105" t="s">
        <v>1404</v>
      </c>
      <c r="J4" s="105" t="s">
        <v>1399</v>
      </c>
      <c r="K4" s="105"/>
    </row>
    <row r="5" s="93" customFormat="1" ht="15.6" customHeight="1" spans="1:11">
      <c r="A5" s="112" t="s">
        <v>1405</v>
      </c>
      <c r="B5" s="113"/>
      <c r="C5" s="114"/>
      <c r="D5" s="115"/>
      <c r="E5" s="116"/>
      <c r="F5" s="117"/>
      <c r="G5" s="117"/>
      <c r="H5" s="118"/>
      <c r="I5" s="135"/>
      <c r="J5" s="118"/>
      <c r="K5" s="136"/>
    </row>
    <row r="6" s="93" customFormat="1" ht="15.6" customHeight="1" spans="1:11">
      <c r="A6" s="119" t="s">
        <v>858</v>
      </c>
      <c r="B6" s="120" t="s">
        <v>859</v>
      </c>
      <c r="C6" s="121">
        <f>利润表!B21*2*100/(资产负债表!F37+资产负债表!E37)</f>
        <v>24.2374736392515</v>
      </c>
      <c r="D6" s="115">
        <v>5.5</v>
      </c>
      <c r="E6" s="122">
        <f t="shared" ref="E6:E11" si="0">IF(OR(C6&gt;D6,C6=D6),1+(C6-D6)/D6,(D6-(C6-D6))/D6)</f>
        <v>4.40681338895482</v>
      </c>
      <c r="F6" s="117">
        <v>20</v>
      </c>
      <c r="G6" s="123"/>
      <c r="H6" s="124">
        <f t="shared" ref="H6:H11" si="1">E6*F6-G6</f>
        <v>88.1362677790963</v>
      </c>
      <c r="I6" s="135" t="s">
        <v>1406</v>
      </c>
      <c r="J6" s="135">
        <v>18</v>
      </c>
      <c r="K6" s="137"/>
    </row>
    <row r="7" s="93" customFormat="1" ht="15.6" customHeight="1" spans="1:11">
      <c r="A7" s="119" t="s">
        <v>860</v>
      </c>
      <c r="B7" s="120" t="s">
        <v>861</v>
      </c>
      <c r="C7" s="121">
        <f>(利润表!B19+利润表!B10)*2*100/(资产负债表!B37+资产负债表!C37)</f>
        <v>17.7983403409001</v>
      </c>
      <c r="D7" s="115">
        <v>4.1</v>
      </c>
      <c r="E7" s="122">
        <f t="shared" si="0"/>
        <v>4.34105861973173</v>
      </c>
      <c r="F7" s="117">
        <v>14</v>
      </c>
      <c r="G7" s="123"/>
      <c r="H7" s="124">
        <f t="shared" si="1"/>
        <v>60.7748206762442</v>
      </c>
      <c r="I7" s="135" t="s">
        <v>1407</v>
      </c>
      <c r="J7" s="135">
        <v>15</v>
      </c>
      <c r="K7" s="137"/>
    </row>
    <row r="8" s="93" customFormat="1" ht="15.6" customHeight="1" spans="1:11">
      <c r="A8" s="125" t="s">
        <v>862</v>
      </c>
      <c r="B8" s="120" t="s">
        <v>863</v>
      </c>
      <c r="C8" s="121">
        <f>(利润表!B5-利润表!B6)/利润表!B5</f>
        <v>0.814826666666667</v>
      </c>
      <c r="D8" s="115">
        <v>8</v>
      </c>
      <c r="E8" s="122">
        <f t="shared" si="0"/>
        <v>1.89814666666667</v>
      </c>
      <c r="F8" s="117">
        <v>10</v>
      </c>
      <c r="G8" s="123"/>
      <c r="H8" s="124">
        <f t="shared" si="1"/>
        <v>18.9814666666667</v>
      </c>
      <c r="I8" s="135" t="s">
        <v>1408</v>
      </c>
      <c r="J8" s="135">
        <v>16</v>
      </c>
      <c r="K8" s="137"/>
    </row>
    <row r="9" s="93" customFormat="1" ht="15.6" customHeight="1" spans="1:11">
      <c r="A9" s="125" t="s">
        <v>864</v>
      </c>
      <c r="B9" s="120" t="s">
        <v>865</v>
      </c>
      <c r="C9" s="121">
        <f>现金流量表!B14/利润表!B21</f>
        <v>0.344647026615395</v>
      </c>
      <c r="D9" s="115">
        <v>0.7</v>
      </c>
      <c r="E9" s="122">
        <f t="shared" si="0"/>
        <v>1.50764710483515</v>
      </c>
      <c r="F9" s="117">
        <v>9</v>
      </c>
      <c r="G9" s="123"/>
      <c r="H9" s="124">
        <f t="shared" si="1"/>
        <v>13.5688239435163</v>
      </c>
      <c r="I9" s="135" t="s">
        <v>1409</v>
      </c>
      <c r="J9" s="135">
        <v>13</v>
      </c>
      <c r="K9" s="137"/>
    </row>
    <row r="10" s="93" customFormat="1" ht="15.6" customHeight="1" spans="1:11">
      <c r="A10" s="125" t="s">
        <v>866</v>
      </c>
      <c r="B10" s="120" t="s">
        <v>867</v>
      </c>
      <c r="C10" s="121">
        <f>利润表!B19*100/SUM(利润表!B6:B10)</f>
        <v>113.612833859058</v>
      </c>
      <c r="D10" s="115">
        <v>4</v>
      </c>
      <c r="E10" s="122">
        <f t="shared" si="0"/>
        <v>28.4032084647646</v>
      </c>
      <c r="F10" s="117">
        <v>8</v>
      </c>
      <c r="G10" s="123"/>
      <c r="H10" s="124">
        <f t="shared" si="1"/>
        <v>227.225667718117</v>
      </c>
      <c r="I10" s="135" t="s">
        <v>1410</v>
      </c>
      <c r="J10" s="135">
        <v>14</v>
      </c>
      <c r="K10" s="137"/>
    </row>
    <row r="11" s="93" customFormat="1" ht="15.6" customHeight="1" spans="1:11">
      <c r="A11" s="125" t="s">
        <v>868</v>
      </c>
      <c r="B11" s="120" t="s">
        <v>869</v>
      </c>
      <c r="C11" s="121">
        <f>利润表!B21*2*100/(资产负债表!E30+资产负债表!F30+资产负债表!E31+资产负债表!F31)</f>
        <v>47.6679476679477</v>
      </c>
      <c r="D11" s="115">
        <v>6</v>
      </c>
      <c r="E11" s="122">
        <f t="shared" si="0"/>
        <v>7.94465794465794</v>
      </c>
      <c r="F11" s="117">
        <v>7</v>
      </c>
      <c r="G11" s="123"/>
      <c r="H11" s="124">
        <f t="shared" si="1"/>
        <v>55.6126056126056</v>
      </c>
      <c r="I11" s="135" t="s">
        <v>1334</v>
      </c>
      <c r="J11" s="135">
        <v>8</v>
      </c>
      <c r="K11" s="137"/>
    </row>
    <row r="12" s="93" customFormat="1" ht="15.6" customHeight="1" spans="1:11">
      <c r="A12" s="112" t="s">
        <v>1411</v>
      </c>
      <c r="B12" s="120"/>
      <c r="C12" s="126"/>
      <c r="D12" s="115"/>
      <c r="E12" s="114"/>
      <c r="F12" s="117"/>
      <c r="G12" s="127"/>
      <c r="H12" s="127"/>
      <c r="I12" s="135" t="s">
        <v>1412</v>
      </c>
      <c r="J12" s="135">
        <v>8</v>
      </c>
      <c r="K12" s="137"/>
    </row>
    <row r="13" s="93" customFormat="1" ht="15.6" customHeight="1" spans="1:11">
      <c r="A13" s="119" t="s">
        <v>871</v>
      </c>
      <c r="B13" s="120" t="s">
        <v>872</v>
      </c>
      <c r="C13" s="121">
        <f>利润表!B5*2/(资产负债表!B37+资产负债表!C37)</f>
        <v>0.287752256816971</v>
      </c>
      <c r="D13" s="115">
        <v>0.5</v>
      </c>
      <c r="E13" s="122">
        <f t="shared" ref="E13:E17" si="2">IF(OR(C13&gt;D13,C13=D13),1+(C13-D13)/D13,(D13-(C13-D13))/D13)</f>
        <v>1.42449548636606</v>
      </c>
      <c r="F13" s="117">
        <v>10</v>
      </c>
      <c r="G13" s="123"/>
      <c r="H13" s="124">
        <f t="shared" ref="H13:H17" si="3">E13*F13-G13</f>
        <v>14.2449548636606</v>
      </c>
      <c r="I13" s="135" t="s">
        <v>1413</v>
      </c>
      <c r="J13" s="135">
        <v>8</v>
      </c>
      <c r="K13" s="137"/>
    </row>
    <row r="14" s="93" customFormat="1" ht="15.6" customHeight="1" spans="1:11">
      <c r="A14" s="119" t="s">
        <v>873</v>
      </c>
      <c r="B14" s="120" t="s">
        <v>874</v>
      </c>
      <c r="C14" s="121">
        <f>利润表!B5*2/(资产负债表!B9+资产负债表!C9)</f>
        <v>0.556586270871985</v>
      </c>
      <c r="D14" s="115">
        <v>8.2</v>
      </c>
      <c r="E14" s="122">
        <f t="shared" si="2"/>
        <v>1.93212362550342</v>
      </c>
      <c r="F14" s="117">
        <v>12</v>
      </c>
      <c r="G14" s="123"/>
      <c r="H14" s="124">
        <f t="shared" si="3"/>
        <v>23.185483506041</v>
      </c>
      <c r="I14" s="135" t="s">
        <v>1414</v>
      </c>
      <c r="J14" s="138">
        <f>SUM(J6:J13)</f>
        <v>100</v>
      </c>
      <c r="K14" s="124">
        <f>SUM(K6:K13)</f>
        <v>0</v>
      </c>
    </row>
    <row r="15" s="93" customFormat="1" ht="15.6" customHeight="1" spans="1:11">
      <c r="A15" s="125" t="s">
        <v>1415</v>
      </c>
      <c r="B15" s="120" t="s">
        <v>876</v>
      </c>
      <c r="C15" s="121">
        <f>利润表!B11*100/(利润表!B11+资产负债表!B37)</f>
        <v>0</v>
      </c>
      <c r="D15" s="115">
        <v>2.5</v>
      </c>
      <c r="E15" s="122">
        <f>IF(OR(C15&lt;D15,C15=D15),1+(C15-D15)/D15,(D15-(C15-D15))/D15)</f>
        <v>0</v>
      </c>
      <c r="F15" s="117">
        <v>9</v>
      </c>
      <c r="G15" s="123"/>
      <c r="H15" s="124">
        <f t="shared" si="3"/>
        <v>0</v>
      </c>
      <c r="I15" s="131" t="s">
        <v>1403</v>
      </c>
      <c r="J15" s="138">
        <f>J14</f>
        <v>100</v>
      </c>
      <c r="K15" s="139">
        <f>K14</f>
        <v>0</v>
      </c>
    </row>
    <row r="16" s="93" customFormat="1" ht="15.6" customHeight="1" spans="1:11">
      <c r="A16" s="125" t="s">
        <v>877</v>
      </c>
      <c r="B16" s="120" t="s">
        <v>878</v>
      </c>
      <c r="C16" s="121">
        <f>利润表!B5*2/(资产负债表!B17+资产负债表!C17)</f>
        <v>0.464997326265374</v>
      </c>
      <c r="D16" s="115">
        <v>1.3</v>
      </c>
      <c r="E16" s="122">
        <f t="shared" si="2"/>
        <v>1.64230974902664</v>
      </c>
      <c r="F16" s="117">
        <v>7</v>
      </c>
      <c r="G16" s="123"/>
      <c r="H16" s="124">
        <f t="shared" si="3"/>
        <v>11.4961682431864</v>
      </c>
      <c r="I16" s="135"/>
      <c r="J16" s="135"/>
      <c r="K16" s="140"/>
    </row>
    <row r="17" s="93" customFormat="1" ht="15.6" customHeight="1" spans="1:11">
      <c r="A17" s="125" t="s">
        <v>879</v>
      </c>
      <c r="B17" s="120" t="s">
        <v>1416</v>
      </c>
      <c r="C17" s="121">
        <f>现金流量表!B14*2/(资产负债表!C37+资产负债表!B37)</f>
        <v>0.0525262969593699</v>
      </c>
      <c r="D17" s="115">
        <v>3</v>
      </c>
      <c r="E17" s="122">
        <f t="shared" si="2"/>
        <v>1.98249123434688</v>
      </c>
      <c r="F17" s="117">
        <v>6</v>
      </c>
      <c r="G17" s="123"/>
      <c r="H17" s="124">
        <f t="shared" si="3"/>
        <v>11.8949474060813</v>
      </c>
      <c r="I17" s="135"/>
      <c r="J17" s="135"/>
      <c r="K17" s="140"/>
    </row>
    <row r="18" s="93" customFormat="1" ht="15.6" customHeight="1" spans="1:11">
      <c r="A18" s="112" t="s">
        <v>1417</v>
      </c>
      <c r="B18" s="120"/>
      <c r="C18" s="126"/>
      <c r="D18" s="115"/>
      <c r="E18" s="114"/>
      <c r="F18" s="117"/>
      <c r="G18" s="127"/>
      <c r="H18" s="127"/>
      <c r="I18" s="131" t="s">
        <v>1418</v>
      </c>
      <c r="J18" s="138">
        <f>F32*0.7+J15*0.3</f>
        <v>100</v>
      </c>
      <c r="K18" s="139">
        <f>H32*0.7+K15*0.3</f>
        <v>381.995599727731</v>
      </c>
    </row>
    <row r="19" s="93" customFormat="1" ht="15.6" customHeight="1" spans="1:11">
      <c r="A19" s="119" t="s">
        <v>882</v>
      </c>
      <c r="B19" s="120" t="s">
        <v>883</v>
      </c>
      <c r="C19" s="121">
        <f>资产负债表!E28*100/资产负债表!B37</f>
        <v>15.0766944834127</v>
      </c>
      <c r="D19" s="115">
        <v>64</v>
      </c>
      <c r="E19" s="122">
        <f t="shared" ref="E19:E24" si="4">IF(OR(C19&lt;D19,C19=D19),1+(C19-D19)/D19,(D19-(C19-D19))/D19)</f>
        <v>0.235573351303323</v>
      </c>
      <c r="F19" s="117">
        <v>12</v>
      </c>
      <c r="G19" s="123"/>
      <c r="H19" s="124">
        <f t="shared" ref="H19:H24" si="5">E19*F19-G19</f>
        <v>2.82688021563988</v>
      </c>
      <c r="I19" s="141" t="s">
        <v>356</v>
      </c>
      <c r="J19" s="142"/>
      <c r="K19" s="142"/>
    </row>
    <row r="20" s="93" customFormat="1" ht="15.6" customHeight="1" spans="1:11">
      <c r="A20" s="119" t="s">
        <v>884</v>
      </c>
      <c r="B20" s="120" t="s">
        <v>885</v>
      </c>
      <c r="C20" s="121">
        <f>(利润表!B19+利润表!B10)/利润表!B10</f>
        <v>7.13688461538462</v>
      </c>
      <c r="D20" s="115">
        <v>2.8</v>
      </c>
      <c r="E20" s="122">
        <f t="shared" ref="E20:E22" si="6">IF(OR(C20&gt;D20,C20=D20),1+(C20-D20)/D20,(D20-(C20-D20))/D20)</f>
        <v>2.54888736263736</v>
      </c>
      <c r="F20" s="117">
        <v>10</v>
      </c>
      <c r="G20" s="123"/>
      <c r="H20" s="124">
        <f t="shared" si="5"/>
        <v>25.4888736263736</v>
      </c>
      <c r="I20" s="143" t="s">
        <v>1419</v>
      </c>
      <c r="J20" s="143"/>
      <c r="K20" s="143"/>
    </row>
    <row r="21" s="93" customFormat="1" ht="15.6" customHeight="1" spans="1:14">
      <c r="A21" s="125" t="s">
        <v>886</v>
      </c>
      <c r="B21" s="120" t="s">
        <v>887</v>
      </c>
      <c r="C21" s="121">
        <f>(资产负债表!B17-资产负债表!B14)*100/资产负债表!E18</f>
        <v>550.567222909127</v>
      </c>
      <c r="D21" s="115">
        <v>75</v>
      </c>
      <c r="E21" s="122">
        <f t="shared" si="6"/>
        <v>7.34089630545503</v>
      </c>
      <c r="F21" s="117">
        <v>6</v>
      </c>
      <c r="G21" s="123"/>
      <c r="H21" s="124">
        <f t="shared" si="5"/>
        <v>44.0453778327302</v>
      </c>
      <c r="I21" s="143" t="s">
        <v>1420</v>
      </c>
      <c r="J21" s="143"/>
      <c r="K21" s="143"/>
      <c r="N21" s="144"/>
    </row>
    <row r="22" s="93" customFormat="1" ht="15.6" customHeight="1" spans="1:11">
      <c r="A22" s="125" t="s">
        <v>888</v>
      </c>
      <c r="B22" s="120" t="s">
        <v>889</v>
      </c>
      <c r="C22" s="121">
        <f>现金流量表!B14*100/资产负债表!E18</f>
        <v>49.422849561835</v>
      </c>
      <c r="D22" s="115">
        <v>8.9</v>
      </c>
      <c r="E22" s="122">
        <f t="shared" si="6"/>
        <v>5.55312916425112</v>
      </c>
      <c r="F22" s="117">
        <v>6</v>
      </c>
      <c r="G22" s="123"/>
      <c r="H22" s="124">
        <f t="shared" si="5"/>
        <v>33.3187749855067</v>
      </c>
      <c r="I22" s="143" t="s">
        <v>1421</v>
      </c>
      <c r="J22" s="143"/>
      <c r="K22" s="143"/>
    </row>
    <row r="23" s="93" customFormat="1" ht="33" spans="1:11">
      <c r="A23" s="125" t="s">
        <v>890</v>
      </c>
      <c r="B23" s="120" t="s">
        <v>891</v>
      </c>
      <c r="C23" s="121">
        <f>(资产负债表!E6+资产负债表!E16+资产负债表!E20+资产负债表!E21+资产负债表!E13)*100/资产负债表!E28</f>
        <v>11.0294847612429</v>
      </c>
      <c r="D23" s="115">
        <v>50.1</v>
      </c>
      <c r="E23" s="122">
        <f t="shared" si="4"/>
        <v>0.220149396431994</v>
      </c>
      <c r="F23" s="117">
        <v>5</v>
      </c>
      <c r="G23" s="123"/>
      <c r="H23" s="124">
        <f t="shared" si="5"/>
        <v>1.10074698215997</v>
      </c>
      <c r="I23" s="143" t="s">
        <v>1422</v>
      </c>
      <c r="J23" s="143"/>
      <c r="K23" s="143"/>
    </row>
    <row r="24" s="93" customFormat="1" ht="15.6" customHeight="1" spans="1:11">
      <c r="A24" s="125" t="s">
        <v>892</v>
      </c>
      <c r="B24" s="120" t="s">
        <v>893</v>
      </c>
      <c r="C24" s="121">
        <f>资产负债表!E24*100/资产负债表!E35</f>
        <v>0</v>
      </c>
      <c r="D24" s="115">
        <v>4.8</v>
      </c>
      <c r="E24" s="122">
        <f t="shared" si="4"/>
        <v>0</v>
      </c>
      <c r="F24" s="117">
        <v>5</v>
      </c>
      <c r="G24" s="123"/>
      <c r="H24" s="124">
        <f t="shared" si="5"/>
        <v>0</v>
      </c>
      <c r="I24" s="143" t="s">
        <v>1423</v>
      </c>
      <c r="J24" s="143"/>
      <c r="K24" s="143"/>
    </row>
    <row r="25" s="93" customFormat="1" ht="15.6" customHeight="1" spans="1:11">
      <c r="A25" s="112" t="s">
        <v>1424</v>
      </c>
      <c r="B25" s="120"/>
      <c r="C25" s="126"/>
      <c r="D25" s="115"/>
      <c r="E25" s="114"/>
      <c r="F25" s="117"/>
      <c r="G25" s="127"/>
      <c r="H25" s="127"/>
      <c r="I25" s="143" t="s">
        <v>1425</v>
      </c>
      <c r="J25" s="143"/>
      <c r="K25" s="143"/>
    </row>
    <row r="26" s="93" customFormat="1" ht="15.6" customHeight="1" spans="1:11">
      <c r="A26" s="119" t="s">
        <v>895</v>
      </c>
      <c r="B26" s="120" t="s">
        <v>896</v>
      </c>
      <c r="C26" s="121">
        <f>(利润表!B7-利润表!C7)*100/利润表!C7</f>
        <v>214.622641509434</v>
      </c>
      <c r="D26" s="115">
        <v>9.8</v>
      </c>
      <c r="E26" s="122">
        <f t="shared" ref="E26:E30" si="7">IF(OR(C26&gt;D26,C26=D26),1+(C26-D26)/D26,(D26-(C26-D26))/D26)</f>
        <v>21.900269541779</v>
      </c>
      <c r="F26" s="117">
        <v>12</v>
      </c>
      <c r="G26" s="123"/>
      <c r="H26" s="124">
        <f t="shared" ref="H26:H30" si="8">E26*F26-G26</f>
        <v>262.803234501348</v>
      </c>
      <c r="I26" s="143" t="s">
        <v>1426</v>
      </c>
      <c r="J26" s="143"/>
      <c r="K26" s="143"/>
    </row>
    <row r="27" s="93" customFormat="1" ht="15.6" customHeight="1" spans="1:11">
      <c r="A27" s="119" t="s">
        <v>897</v>
      </c>
      <c r="B27" s="120" t="s">
        <v>898</v>
      </c>
      <c r="C27" s="121">
        <f>资产负债表!E35*100/资产负债表!F35</f>
        <v>100</v>
      </c>
      <c r="D27" s="115">
        <v>104.5</v>
      </c>
      <c r="E27" s="122">
        <f t="shared" si="7"/>
        <v>1.04306220095694</v>
      </c>
      <c r="F27" s="117">
        <v>10</v>
      </c>
      <c r="G27" s="123"/>
      <c r="H27" s="124">
        <f t="shared" si="8"/>
        <v>10.4306220095694</v>
      </c>
      <c r="I27" s="143" t="s">
        <v>1427</v>
      </c>
      <c r="J27" s="143"/>
      <c r="K27" s="143"/>
    </row>
    <row r="28" s="93" customFormat="1" ht="16.5" spans="1:11">
      <c r="A28" s="125" t="s">
        <v>899</v>
      </c>
      <c r="B28" s="120" t="s">
        <v>900</v>
      </c>
      <c r="C28" s="121">
        <f>(利润表!B5-利润表!B6-利润表!B7-利润表!C5+利润表!C6+利润表!C7)*100/(利润表!C5-利润表!C6-利润表!C7)</f>
        <v>94.2813761137971</v>
      </c>
      <c r="D28" s="115">
        <v>7</v>
      </c>
      <c r="E28" s="122">
        <f t="shared" si="7"/>
        <v>13.4687680162567</v>
      </c>
      <c r="F28" s="117">
        <v>10</v>
      </c>
      <c r="G28" s="123"/>
      <c r="H28" s="124">
        <f t="shared" si="8"/>
        <v>134.687680162567</v>
      </c>
      <c r="I28" s="143" t="s">
        <v>1428</v>
      </c>
      <c r="J28" s="143"/>
      <c r="K28" s="143"/>
    </row>
    <row r="29" s="93" customFormat="1" ht="15.6" customHeight="1" spans="1:11">
      <c r="A29" s="125" t="s">
        <v>901</v>
      </c>
      <c r="B29" s="120" t="s">
        <v>902</v>
      </c>
      <c r="C29" s="121">
        <f>(资产负债表!B37-资产负债表!C37)*100/资产负债表!C37</f>
        <v>-45.5687980577663</v>
      </c>
      <c r="D29" s="115">
        <v>10.6</v>
      </c>
      <c r="E29" s="122">
        <f t="shared" si="7"/>
        <v>6.29894321299683</v>
      </c>
      <c r="F29" s="117">
        <v>7</v>
      </c>
      <c r="G29" s="123"/>
      <c r="H29" s="124">
        <f t="shared" si="8"/>
        <v>44.0926024909778</v>
      </c>
      <c r="I29" s="143" t="s">
        <v>1429</v>
      </c>
      <c r="J29" s="143"/>
      <c r="K29" s="143"/>
    </row>
    <row r="30" s="93" customFormat="1" ht="15.6" customHeight="1" spans="1:11">
      <c r="A30" s="128" t="s">
        <v>903</v>
      </c>
      <c r="B30" s="129" t="s">
        <v>904</v>
      </c>
      <c r="C30" s="130"/>
      <c r="D30" s="115">
        <v>1.7</v>
      </c>
      <c r="E30" s="122">
        <f t="shared" si="7"/>
        <v>2</v>
      </c>
      <c r="F30" s="117">
        <v>5</v>
      </c>
      <c r="G30" s="123">
        <v>2.5</v>
      </c>
      <c r="H30" s="124">
        <f t="shared" si="8"/>
        <v>7.5</v>
      </c>
      <c r="I30" s="143" t="s">
        <v>1430</v>
      </c>
      <c r="J30" s="143"/>
      <c r="K30" s="143"/>
    </row>
    <row r="31" s="93" customFormat="1" ht="15.6" customHeight="1" spans="1:11">
      <c r="A31" s="131" t="s">
        <v>1431</v>
      </c>
      <c r="B31" s="132"/>
      <c r="C31" s="126"/>
      <c r="D31" s="133"/>
      <c r="E31" s="115"/>
      <c r="F31" s="134">
        <f>SUM(F5:F30)</f>
        <v>200</v>
      </c>
      <c r="G31" s="123"/>
      <c r="H31" s="124">
        <f>SUM(H5:H30)</f>
        <v>1091.41599922209</v>
      </c>
      <c r="I31" s="143" t="s">
        <v>1432</v>
      </c>
      <c r="J31" s="143"/>
      <c r="K31" s="143"/>
    </row>
    <row r="32" s="93" customFormat="1" ht="15.6" customHeight="1" spans="1:11">
      <c r="A32" s="131" t="s">
        <v>1401</v>
      </c>
      <c r="B32" s="132"/>
      <c r="C32" s="126"/>
      <c r="D32" s="133"/>
      <c r="E32" s="115"/>
      <c r="F32" s="134">
        <f>F31/2</f>
        <v>100</v>
      </c>
      <c r="G32" s="123"/>
      <c r="H32" s="124">
        <f>H31/2</f>
        <v>545.707999611044</v>
      </c>
      <c r="I32" s="145"/>
      <c r="J32" s="145"/>
      <c r="K32" s="145"/>
    </row>
  </sheetData>
  <mergeCells count="28">
    <mergeCell ref="A1:K1"/>
    <mergeCell ref="A2:B2"/>
    <mergeCell ref="C2:F2"/>
    <mergeCell ref="G2:K2"/>
    <mergeCell ref="I3:J3"/>
    <mergeCell ref="J19:K19"/>
    <mergeCell ref="I20:K20"/>
    <mergeCell ref="I21:K21"/>
    <mergeCell ref="I22:K22"/>
    <mergeCell ref="I23:K23"/>
    <mergeCell ref="I24:K24"/>
    <mergeCell ref="I25:K25"/>
    <mergeCell ref="I26:K26"/>
    <mergeCell ref="I27:K27"/>
    <mergeCell ref="I28:K28"/>
    <mergeCell ref="I29:K29"/>
    <mergeCell ref="I30:K30"/>
    <mergeCell ref="I31:K31"/>
    <mergeCell ref="I32:K32"/>
    <mergeCell ref="A3:A4"/>
    <mergeCell ref="B3:B4"/>
    <mergeCell ref="C3:C4"/>
    <mergeCell ref="D3:D4"/>
    <mergeCell ref="E3:E4"/>
    <mergeCell ref="F3:F4"/>
    <mergeCell ref="G3:G4"/>
    <mergeCell ref="H3:H4"/>
    <mergeCell ref="K3:K4"/>
  </mergeCells>
  <pageMargins left="0.75" right="0.75" top="1" bottom="1" header="0.509027777777778" footer="0.509027777777778"/>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AD62"/>
  <sheetViews>
    <sheetView workbookViewId="0">
      <selection activeCell="G8" sqref="G8"/>
    </sheetView>
  </sheetViews>
  <sheetFormatPr defaultColWidth="9" defaultRowHeight="12"/>
  <cols>
    <col min="1" max="1" width="9.75" style="2" customWidth="1"/>
    <col min="2" max="2" width="8.625" style="3" customWidth="1"/>
    <col min="3" max="13" width="8.625" style="2" customWidth="1"/>
    <col min="14" max="14" width="10.125" style="2" customWidth="1"/>
    <col min="15" max="15" width="5.75" style="2" customWidth="1"/>
    <col min="16" max="16" width="2.75" style="2" customWidth="1"/>
    <col min="17" max="17" width="9.25" style="2" customWidth="1"/>
    <col min="18" max="28" width="5.625" style="2" customWidth="1"/>
    <col min="29" max="16384" width="9" style="2"/>
  </cols>
  <sheetData>
    <row r="1" customHeight="1" spans="1:30">
      <c r="A1" s="5" t="s">
        <v>1433</v>
      </c>
      <c r="B1" s="6"/>
      <c r="D1" s="7"/>
      <c r="E1" s="5" t="s">
        <v>1434</v>
      </c>
      <c r="F1" s="7"/>
      <c r="G1" s="7"/>
      <c r="H1" s="5" t="s">
        <v>1435</v>
      </c>
      <c r="I1" s="7"/>
      <c r="J1" s="7"/>
      <c r="K1" s="7"/>
      <c r="P1" s="25" t="s">
        <v>1436</v>
      </c>
      <c r="Q1" s="5"/>
      <c r="R1" s="6"/>
      <c r="T1" s="7"/>
      <c r="V1" s="5"/>
      <c r="W1" s="7"/>
      <c r="Y1" s="7"/>
      <c r="Z1" s="7"/>
      <c r="AA1" s="5"/>
      <c r="AD1" s="25"/>
    </row>
    <row r="2" s="1" customFormat="1" ht="23.25" customHeight="1" spans="1:30">
      <c r="A2" s="69" t="s">
        <v>1051</v>
      </c>
      <c r="B2" s="70" t="s">
        <v>1437</v>
      </c>
      <c r="C2" s="70" t="s">
        <v>1438</v>
      </c>
      <c r="D2" s="70" t="s">
        <v>1439</v>
      </c>
      <c r="E2" s="70" t="s">
        <v>1440</v>
      </c>
      <c r="F2" s="70" t="s">
        <v>1441</v>
      </c>
      <c r="G2" s="70" t="s">
        <v>1442</v>
      </c>
      <c r="H2" s="70" t="s">
        <v>1443</v>
      </c>
      <c r="I2" s="70" t="s">
        <v>1444</v>
      </c>
      <c r="J2" s="70" t="s">
        <v>1445</v>
      </c>
      <c r="K2" s="70" t="s">
        <v>1446</v>
      </c>
      <c r="L2" s="70" t="s">
        <v>1447</v>
      </c>
      <c r="M2" s="70" t="s">
        <v>1448</v>
      </c>
      <c r="N2" s="69" t="s">
        <v>689</v>
      </c>
      <c r="O2" s="69" t="s">
        <v>1449</v>
      </c>
      <c r="P2" s="85" t="s">
        <v>1450</v>
      </c>
      <c r="Q2" s="92"/>
      <c r="R2" s="92"/>
      <c r="S2" s="92"/>
      <c r="T2" s="92"/>
      <c r="U2" s="92"/>
      <c r="V2" s="92"/>
      <c r="W2" s="92"/>
      <c r="X2" s="92"/>
      <c r="Y2" s="92"/>
      <c r="Z2" s="92"/>
      <c r="AA2" s="92"/>
      <c r="AB2" s="92"/>
      <c r="AC2" s="92"/>
      <c r="AD2" s="92"/>
    </row>
    <row r="3" ht="11.25" customHeight="1" spans="1:30">
      <c r="A3" s="71" t="s">
        <v>1451</v>
      </c>
      <c r="B3" s="72">
        <f>[2]A产品成本分析表!C4+[2]B产品成本分析表!C4+[2]C产品成本分析表!C4+[2]D产品成本分析表!C4+[2]E产品成本分析表!C4+[2]F产品成本分析表!C4+[2]G产品成本分析表!C4+[2]其他产品成本表!C4+[2]其他产品成本表!C14+[2]其他产品成本表!C24+[2]其他产品成本表!C34+[2]其他产品成本表!C44+[2]其他产品成本表!C54+[2]其他产品成本表!C64+[2]其他产品成本表!C74+[2]其他产品成本表!C84+[2]其他产品成本表!C94</f>
        <v>0</v>
      </c>
      <c r="C3" s="73">
        <f t="shared" ref="C3:M3" si="0">B10</f>
        <v>0</v>
      </c>
      <c r="D3" s="73">
        <f t="shared" si="0"/>
        <v>0</v>
      </c>
      <c r="E3" s="73">
        <f t="shared" si="0"/>
        <v>0</v>
      </c>
      <c r="F3" s="73">
        <f t="shared" si="0"/>
        <v>0</v>
      </c>
      <c r="G3" s="73">
        <f t="shared" si="0"/>
        <v>0</v>
      </c>
      <c r="H3" s="73">
        <f t="shared" si="0"/>
        <v>0</v>
      </c>
      <c r="I3" s="73">
        <f t="shared" si="0"/>
        <v>0</v>
      </c>
      <c r="J3" s="73">
        <f t="shared" si="0"/>
        <v>0</v>
      </c>
      <c r="K3" s="73">
        <f t="shared" si="0"/>
        <v>0</v>
      </c>
      <c r="L3" s="73">
        <f t="shared" si="0"/>
        <v>0</v>
      </c>
      <c r="M3" s="73">
        <f t="shared" si="0"/>
        <v>0</v>
      </c>
      <c r="N3" s="86"/>
      <c r="O3" s="71"/>
      <c r="P3" s="71"/>
      <c r="Q3" s="81"/>
      <c r="R3" s="81"/>
      <c r="S3" s="81"/>
      <c r="T3" s="81"/>
      <c r="U3" s="81"/>
      <c r="V3" s="81"/>
      <c r="W3" s="81"/>
      <c r="X3" s="81"/>
      <c r="Y3" s="81"/>
      <c r="Z3" s="81"/>
      <c r="AA3" s="81"/>
      <c r="AB3" s="81"/>
      <c r="AC3" s="81"/>
      <c r="AD3" s="81"/>
    </row>
    <row r="4" ht="11.25" customHeight="1" spans="1:30">
      <c r="A4" s="74" t="s">
        <v>1452</v>
      </c>
      <c r="B4" s="75">
        <f>[2]A产品成本分析表!C5+[2]B产品成本分析表!C5+[2]C产品成本分析表!C5+[2]D产品成本分析表!C5+[2]E产品成本分析表!C5+[2]F产品成本分析表!C5+[2]G产品成本分析表!C5+[2]其他产品成本表!C15+[2]其他产品成本表!C5+[2]其他产品成本表!C25+[2]其他产品成本表!C35+[2]其他产品成本表!C45+[2]其他产品成本表!C55+[2]其他产品成本表!C65+[2]其他产品成本表!C75+[2]其他产品成本表!C85+[2]其他产品成本表!C95</f>
        <v>0</v>
      </c>
      <c r="C4" s="75">
        <f>[2]A产品成本分析表!D5+[2]B产品成本分析表!D5+[2]C产品成本分析表!D5+[2]D产品成本分析表!D5+[2]E产品成本分析表!D5+[2]F产品成本分析表!D5+[2]G产品成本分析表!D5+[2]其他产品成本表!D15+[2]其他产品成本表!D5+[2]其他产品成本表!D25+[2]其他产品成本表!D35+[2]其他产品成本表!D45+[2]其他产品成本表!D55+[2]其他产品成本表!D65+[2]其他产品成本表!D75+[2]其他产品成本表!D85+[2]其他产品成本表!D95</f>
        <v>0</v>
      </c>
      <c r="D4" s="75">
        <f>[2]A产品成本分析表!E5+[2]B产品成本分析表!E5+[2]C产品成本分析表!E5+[2]D产品成本分析表!E5+[2]E产品成本分析表!E5+[2]F产品成本分析表!E5+[2]G产品成本分析表!E5+[2]其他产品成本表!E15+[2]其他产品成本表!E5+[2]其他产品成本表!E25+[2]其他产品成本表!E35+[2]其他产品成本表!E45+[2]其他产品成本表!E55+[2]其他产品成本表!E65+[2]其他产品成本表!E75+[2]其他产品成本表!E85+[2]其他产品成本表!E95</f>
        <v>0</v>
      </c>
      <c r="E4" s="75">
        <f>[2]A产品成本分析表!F5+[2]B产品成本分析表!F5+[2]C产品成本分析表!F5+[2]D产品成本分析表!F5+[2]E产品成本分析表!F5+[2]F产品成本分析表!F5+[2]G产品成本分析表!F5+[2]其他产品成本表!F15+[2]其他产品成本表!F5+[2]其他产品成本表!F25+[2]其他产品成本表!F35+[2]其他产品成本表!F45+[2]其他产品成本表!F55+[2]其他产品成本表!F65+[2]其他产品成本表!F75+[2]其他产品成本表!F85+[2]其他产品成本表!F95</f>
        <v>0</v>
      </c>
      <c r="F4" s="75">
        <f>[2]A产品成本分析表!G5+[2]B产品成本分析表!G5+[2]C产品成本分析表!G5+[2]D产品成本分析表!G5+[2]E产品成本分析表!G5+[2]F产品成本分析表!G5+[2]G产品成本分析表!G5+[2]其他产品成本表!G15+[2]其他产品成本表!G5+[2]其他产品成本表!G25+[2]其他产品成本表!G35+[2]其他产品成本表!G45+[2]其他产品成本表!G55+[2]其他产品成本表!G65+[2]其他产品成本表!G75+[2]其他产品成本表!G85+[2]其他产品成本表!G95</f>
        <v>0</v>
      </c>
      <c r="G4" s="75">
        <f>[2]A产品成本分析表!H5+[2]B产品成本分析表!H5+[2]C产品成本分析表!H5+[2]D产品成本分析表!H5+[2]E产品成本分析表!H5+[2]F产品成本分析表!H5+[2]G产品成本分析表!H5+[2]其他产品成本表!H15+[2]其他产品成本表!H5+[2]其他产品成本表!H25+[2]其他产品成本表!H35+[2]其他产品成本表!H45+[2]其他产品成本表!H55+[2]其他产品成本表!H65+[2]其他产品成本表!H75+[2]其他产品成本表!H85+[2]其他产品成本表!H95</f>
        <v>0</v>
      </c>
      <c r="H4" s="75">
        <f>[2]A产品成本分析表!I5+[2]B产品成本分析表!I5+[2]C产品成本分析表!I5+[2]D产品成本分析表!I5+[2]E产品成本分析表!I5+[2]F产品成本分析表!I5+[2]G产品成本分析表!I5+[2]其他产品成本表!I15+[2]其他产品成本表!I5+[2]其他产品成本表!I25+[2]其他产品成本表!I35+[2]其他产品成本表!I45+[2]其他产品成本表!I55+[2]其他产品成本表!I65+[2]其他产品成本表!I75+[2]其他产品成本表!I85+[2]其他产品成本表!I95</f>
        <v>0</v>
      </c>
      <c r="I4" s="75">
        <f>[2]A产品成本分析表!J5+[2]B产品成本分析表!J5+[2]C产品成本分析表!J5+[2]D产品成本分析表!J5+[2]E产品成本分析表!J5+[2]F产品成本分析表!J5+[2]G产品成本分析表!J5+[2]其他产品成本表!J15+[2]其他产品成本表!J5+[2]其他产品成本表!J25+[2]其他产品成本表!J35+[2]其他产品成本表!J45+[2]其他产品成本表!J55+[2]其他产品成本表!J65+[2]其他产品成本表!J75+[2]其他产品成本表!J85+[2]其他产品成本表!J95</f>
        <v>0</v>
      </c>
      <c r="J4" s="75">
        <f>[2]A产品成本分析表!K5+[2]B产品成本分析表!K5+[2]C产品成本分析表!K5+[2]D产品成本分析表!K5+[2]E产品成本分析表!K5+[2]F产品成本分析表!K5+[2]G产品成本分析表!K5+[2]其他产品成本表!K15+[2]其他产品成本表!K5+[2]其他产品成本表!K25+[2]其他产品成本表!K35+[2]其他产品成本表!K45+[2]其他产品成本表!K55+[2]其他产品成本表!K65+[2]其他产品成本表!K75+[2]其他产品成本表!K85+[2]其他产品成本表!K95</f>
        <v>0</v>
      </c>
      <c r="K4" s="75">
        <f>[2]A产品成本分析表!L5+[2]B产品成本分析表!L5+[2]C产品成本分析表!L5+[2]D产品成本分析表!L5+[2]E产品成本分析表!L5+[2]F产品成本分析表!L5+[2]G产品成本分析表!L5+[2]其他产品成本表!L15+[2]其他产品成本表!L5+[2]其他产品成本表!L25+[2]其他产品成本表!L35+[2]其他产品成本表!L45+[2]其他产品成本表!L55+[2]其他产品成本表!L65+[2]其他产品成本表!L75+[2]其他产品成本表!L85+[2]其他产品成本表!L95</f>
        <v>0</v>
      </c>
      <c r="L4" s="75">
        <f>[2]A产品成本分析表!M5+[2]B产品成本分析表!M5+[2]C产品成本分析表!M5+[2]D产品成本分析表!M5+[2]E产品成本分析表!M5+[2]F产品成本分析表!M5+[2]G产品成本分析表!M5+[2]其他产品成本表!M15+[2]其他产品成本表!M5+[2]其他产品成本表!M25+[2]其他产品成本表!M35+[2]其他产品成本表!M45+[2]其他产品成本表!M55+[2]其他产品成本表!M65+[2]其他产品成本表!M75+[2]其他产品成本表!M85+[2]其他产品成本表!M95</f>
        <v>0</v>
      </c>
      <c r="M4" s="75">
        <f>[2]A产品成本分析表!N5+[2]B产品成本分析表!N5+[2]C产品成本分析表!N5+[2]D产品成本分析表!N5+[2]E产品成本分析表!N5+[2]F产品成本分析表!N5+[2]G产品成本分析表!N5+[2]其他产品成本表!N15+[2]其他产品成本表!N5+[2]其他产品成本表!N25+[2]其他产品成本表!N35+[2]其他产品成本表!N45+[2]其他产品成本表!N55+[2]其他产品成本表!N65+[2]其他产品成本表!N75+[2]其他产品成本表!N85+[2]其他产品成本表!N95</f>
        <v>0</v>
      </c>
      <c r="N4" s="75">
        <f t="shared" ref="N4:N9" si="1">SUM(B4:M4)</f>
        <v>0</v>
      </c>
      <c r="O4" s="77">
        <f t="shared" ref="O4:O8" si="2">IF($N$8=0,0,N4/$N$8)</f>
        <v>0</v>
      </c>
      <c r="P4" s="87" t="str">
        <f>IF(O4=0,"",RANK(O4,$O$4:$O$7))</f>
        <v/>
      </c>
      <c r="Q4" s="81"/>
      <c r="R4" s="81"/>
      <c r="S4" s="81"/>
      <c r="T4" s="81"/>
      <c r="U4" s="81"/>
      <c r="V4" s="81"/>
      <c r="W4" s="81"/>
      <c r="X4" s="81"/>
      <c r="Y4" s="81"/>
      <c r="Z4" s="81"/>
      <c r="AA4" s="81"/>
      <c r="AB4" s="81"/>
      <c r="AC4" s="81"/>
      <c r="AD4" s="81"/>
    </row>
    <row r="5" ht="11.25" customHeight="1" spans="1:30">
      <c r="A5" s="74" t="s">
        <v>1453</v>
      </c>
      <c r="B5" s="75">
        <f>[2]A产品成本分析表!C6+[2]B产品成本分析表!C6+[2]C产品成本分析表!C6+[2]D产品成本分析表!C6+[2]E产品成本分析表!C6+[2]F产品成本分析表!C6+[2]G产品成本分析表!C6+[2]其他产品成本表!C16+[2]其他产品成本表!C6+[2]其他产品成本表!C26+[2]其他产品成本表!C36+[2]其他产品成本表!C46+[2]其他产品成本表!C56+[2]其他产品成本表!C66+[2]其他产品成本表!C76+[2]其他产品成本表!C86+[2]其他产品成本表!C96</f>
        <v>0</v>
      </c>
      <c r="C5" s="75">
        <f>[2]A产品成本分析表!D6+[2]B产品成本分析表!D6+[2]C产品成本分析表!D6+[2]D产品成本分析表!D6+[2]E产品成本分析表!D6+[2]F产品成本分析表!D6+[2]G产品成本分析表!D6+[2]其他产品成本表!D16+[2]其他产品成本表!D6+[2]其他产品成本表!D26+[2]其他产品成本表!D36+[2]其他产品成本表!D46+[2]其他产品成本表!D56+[2]其他产品成本表!D66+[2]其他产品成本表!D76+[2]其他产品成本表!D86+[2]其他产品成本表!D96</f>
        <v>0</v>
      </c>
      <c r="D5" s="75">
        <f>[2]A产品成本分析表!E6+[2]B产品成本分析表!E6+[2]C产品成本分析表!E6+[2]D产品成本分析表!E6+[2]E产品成本分析表!E6+[2]F产品成本分析表!E6+[2]G产品成本分析表!E6+[2]其他产品成本表!E16+[2]其他产品成本表!E6+[2]其他产品成本表!E26+[2]其他产品成本表!E36+[2]其他产品成本表!E46+[2]其他产品成本表!E56+[2]其他产品成本表!E66+[2]其他产品成本表!E76+[2]其他产品成本表!E86+[2]其他产品成本表!E96</f>
        <v>0</v>
      </c>
      <c r="E5" s="75">
        <f>[2]A产品成本分析表!F6+[2]B产品成本分析表!F6+[2]C产品成本分析表!F6+[2]D产品成本分析表!F6+[2]E产品成本分析表!F6+[2]F产品成本分析表!F6+[2]G产品成本分析表!F6+[2]其他产品成本表!F16+[2]其他产品成本表!F6+[2]其他产品成本表!F26+[2]其他产品成本表!F36+[2]其他产品成本表!F46+[2]其他产品成本表!F56+[2]其他产品成本表!F66+[2]其他产品成本表!F76+[2]其他产品成本表!F86+[2]其他产品成本表!F96</f>
        <v>0</v>
      </c>
      <c r="F5" s="75">
        <f>[2]A产品成本分析表!G6+[2]B产品成本分析表!G6+[2]C产品成本分析表!G6+[2]D产品成本分析表!G6+[2]E产品成本分析表!G6+[2]F产品成本分析表!G6+[2]G产品成本分析表!G6+[2]其他产品成本表!G16+[2]其他产品成本表!G6+[2]其他产品成本表!G26+[2]其他产品成本表!G36+[2]其他产品成本表!G46+[2]其他产品成本表!G56+[2]其他产品成本表!G66+[2]其他产品成本表!G76+[2]其他产品成本表!G86+[2]其他产品成本表!G96</f>
        <v>0</v>
      </c>
      <c r="G5" s="75">
        <f>[2]A产品成本分析表!H6+[2]B产品成本分析表!H6+[2]C产品成本分析表!H6+[2]D产品成本分析表!H6+[2]E产品成本分析表!H6+[2]F产品成本分析表!H6+[2]G产品成本分析表!H6+[2]其他产品成本表!H16+[2]其他产品成本表!H6+[2]其他产品成本表!H26+[2]其他产品成本表!H36+[2]其他产品成本表!H46+[2]其他产品成本表!H56+[2]其他产品成本表!H66+[2]其他产品成本表!H76+[2]其他产品成本表!H86+[2]其他产品成本表!H96</f>
        <v>0</v>
      </c>
      <c r="H5" s="75">
        <f>[2]A产品成本分析表!I6+[2]B产品成本分析表!I6+[2]C产品成本分析表!I6+[2]D产品成本分析表!I6+[2]E产品成本分析表!I6+[2]F产品成本分析表!I6+[2]G产品成本分析表!I6+[2]其他产品成本表!I16+[2]其他产品成本表!I6+[2]其他产品成本表!I26+[2]其他产品成本表!I36+[2]其他产品成本表!I46+[2]其他产品成本表!I56+[2]其他产品成本表!I66+[2]其他产品成本表!I76+[2]其他产品成本表!I86+[2]其他产品成本表!I96</f>
        <v>0</v>
      </c>
      <c r="I5" s="75">
        <f>[2]A产品成本分析表!J6+[2]B产品成本分析表!J6+[2]C产品成本分析表!J6+[2]D产品成本分析表!J6+[2]E产品成本分析表!J6+[2]F产品成本分析表!J6+[2]G产品成本分析表!J6+[2]其他产品成本表!J16+[2]其他产品成本表!J6+[2]其他产品成本表!J26+[2]其他产品成本表!J36+[2]其他产品成本表!J46+[2]其他产品成本表!J56+[2]其他产品成本表!J66+[2]其他产品成本表!J76+[2]其他产品成本表!J86+[2]其他产品成本表!J96</f>
        <v>0</v>
      </c>
      <c r="J5" s="75">
        <f>[2]A产品成本分析表!K6+[2]B产品成本分析表!K6+[2]C产品成本分析表!K6+[2]D产品成本分析表!K6+[2]E产品成本分析表!K6+[2]F产品成本分析表!K6+[2]G产品成本分析表!K6+[2]其他产品成本表!K16+[2]其他产品成本表!K6+[2]其他产品成本表!K26+[2]其他产品成本表!K36+[2]其他产品成本表!K46+[2]其他产品成本表!K56+[2]其他产品成本表!K66+[2]其他产品成本表!K76+[2]其他产品成本表!K86+[2]其他产品成本表!K96</f>
        <v>0</v>
      </c>
      <c r="K5" s="75">
        <f>[2]A产品成本分析表!L6+[2]B产品成本分析表!L6+[2]C产品成本分析表!L6+[2]D产品成本分析表!L6+[2]E产品成本分析表!L6+[2]F产品成本分析表!L6+[2]G产品成本分析表!L6+[2]其他产品成本表!L16+[2]其他产品成本表!L6+[2]其他产品成本表!L26+[2]其他产品成本表!L36+[2]其他产品成本表!L46+[2]其他产品成本表!L56+[2]其他产品成本表!L66+[2]其他产品成本表!L76+[2]其他产品成本表!L86+[2]其他产品成本表!L96</f>
        <v>0</v>
      </c>
      <c r="L5" s="75">
        <f>[2]A产品成本分析表!M6+[2]B产品成本分析表!M6+[2]C产品成本分析表!M6+[2]D产品成本分析表!M6+[2]E产品成本分析表!M6+[2]F产品成本分析表!M6+[2]G产品成本分析表!M6+[2]其他产品成本表!M16+[2]其他产品成本表!M6+[2]其他产品成本表!M26+[2]其他产品成本表!M36+[2]其他产品成本表!M46+[2]其他产品成本表!M56+[2]其他产品成本表!M66+[2]其他产品成本表!M76+[2]其他产品成本表!M86+[2]其他产品成本表!M96</f>
        <v>0</v>
      </c>
      <c r="M5" s="75">
        <f>[2]A产品成本分析表!N6+[2]B产品成本分析表!N6+[2]C产品成本分析表!N6+[2]D产品成本分析表!N6+[2]E产品成本分析表!N6+[2]F产品成本分析表!N6+[2]G产品成本分析表!N6+[2]其他产品成本表!N16+[2]其他产品成本表!N6+[2]其他产品成本表!N26+[2]其他产品成本表!N36+[2]其他产品成本表!N46+[2]其他产品成本表!N56+[2]其他产品成本表!N66+[2]其他产品成本表!N76+[2]其他产品成本表!N86+[2]其他产品成本表!N96</f>
        <v>0</v>
      </c>
      <c r="N5" s="75">
        <f t="shared" si="1"/>
        <v>0</v>
      </c>
      <c r="O5" s="77">
        <f t="shared" si="2"/>
        <v>0</v>
      </c>
      <c r="P5" s="87" t="str">
        <f>IF(O5=0,"",RANK(O5,$O$4:$O$7))</f>
        <v/>
      </c>
      <c r="Q5" s="81"/>
      <c r="R5" s="81"/>
      <c r="S5" s="81"/>
      <c r="T5" s="81"/>
      <c r="U5" s="81"/>
      <c r="V5" s="81"/>
      <c r="W5" s="81"/>
      <c r="X5" s="81"/>
      <c r="Y5" s="81"/>
      <c r="Z5" s="81"/>
      <c r="AA5" s="81"/>
      <c r="AB5" s="81"/>
      <c r="AC5" s="81"/>
      <c r="AD5" s="81"/>
    </row>
    <row r="6" ht="11.25" customHeight="1" spans="1:30">
      <c r="A6" s="74" t="s">
        <v>1454</v>
      </c>
      <c r="B6" s="75">
        <f>[2]A产品成本分析表!C7+[2]B产品成本分析表!C7+[2]C产品成本分析表!C7+[2]D产品成本分析表!C7+[2]E产品成本分析表!C7+[2]F产品成本分析表!C7+[2]G产品成本分析表!C7+[2]其他产品成本表!C17+[2]其他产品成本表!C7+[2]其他产品成本表!C27+[2]其他产品成本表!C37+[2]其他产品成本表!C47+[2]其他产品成本表!C57+[2]其他产品成本表!C67+[2]其他产品成本表!C77+[2]其他产品成本表!C87+[2]其他产品成本表!C97</f>
        <v>0</v>
      </c>
      <c r="C6" s="75">
        <f>[2]A产品成本分析表!D7+[2]B产品成本分析表!D7+[2]C产品成本分析表!D7+[2]D产品成本分析表!D7+[2]E产品成本分析表!D7+[2]F产品成本分析表!D7+[2]G产品成本分析表!D7+[2]其他产品成本表!D17+[2]其他产品成本表!D7+[2]其他产品成本表!D27+[2]其他产品成本表!D37+[2]其他产品成本表!D47+[2]其他产品成本表!D57+[2]其他产品成本表!D67+[2]其他产品成本表!D77+[2]其他产品成本表!D87+[2]其他产品成本表!D97</f>
        <v>0</v>
      </c>
      <c r="D6" s="75">
        <f>[2]A产品成本分析表!E7+[2]B产品成本分析表!E7+[2]C产品成本分析表!E7+[2]D产品成本分析表!E7+[2]E产品成本分析表!E7+[2]F产品成本分析表!E7+[2]G产品成本分析表!E7+[2]其他产品成本表!E17+[2]其他产品成本表!E7+[2]其他产品成本表!E27+[2]其他产品成本表!E37+[2]其他产品成本表!E47+[2]其他产品成本表!E57+[2]其他产品成本表!E67+[2]其他产品成本表!E77+[2]其他产品成本表!E87+[2]其他产品成本表!E97</f>
        <v>0</v>
      </c>
      <c r="E6" s="75">
        <f>[2]A产品成本分析表!F7+[2]B产品成本分析表!F7+[2]C产品成本分析表!F7+[2]D产品成本分析表!F7+[2]E产品成本分析表!F7+[2]F产品成本分析表!F7+[2]G产品成本分析表!F7+[2]其他产品成本表!F17+[2]其他产品成本表!F7+[2]其他产品成本表!F27+[2]其他产品成本表!F37+[2]其他产品成本表!F47+[2]其他产品成本表!F57+[2]其他产品成本表!F67+[2]其他产品成本表!F77+[2]其他产品成本表!F87+[2]其他产品成本表!F97</f>
        <v>0</v>
      </c>
      <c r="F6" s="75">
        <f>[2]A产品成本分析表!G7+[2]B产品成本分析表!G7+[2]C产品成本分析表!G7+[2]D产品成本分析表!G7+[2]E产品成本分析表!G7+[2]F产品成本分析表!G7+[2]G产品成本分析表!G7+[2]其他产品成本表!G17+[2]其他产品成本表!G7+[2]其他产品成本表!G27+[2]其他产品成本表!G37+[2]其他产品成本表!G47+[2]其他产品成本表!G57+[2]其他产品成本表!G67+[2]其他产品成本表!G77+[2]其他产品成本表!G87+[2]其他产品成本表!G97</f>
        <v>0</v>
      </c>
      <c r="G6" s="75">
        <f>[2]A产品成本分析表!H7+[2]B产品成本分析表!H7+[2]C产品成本分析表!H7+[2]D产品成本分析表!H7+[2]E产品成本分析表!H7+[2]F产品成本分析表!H7+[2]G产品成本分析表!H7+[2]其他产品成本表!H17+[2]其他产品成本表!H7+[2]其他产品成本表!H27+[2]其他产品成本表!H37+[2]其他产品成本表!H47+[2]其他产品成本表!H57+[2]其他产品成本表!H67+[2]其他产品成本表!H77+[2]其他产品成本表!H87+[2]其他产品成本表!H97</f>
        <v>0</v>
      </c>
      <c r="H6" s="75">
        <f>[2]A产品成本分析表!I7+[2]B产品成本分析表!I7+[2]C产品成本分析表!I7+[2]D产品成本分析表!I7+[2]E产品成本分析表!I7+[2]F产品成本分析表!I7+[2]G产品成本分析表!I7+[2]其他产品成本表!I17+[2]其他产品成本表!I7+[2]其他产品成本表!I27+[2]其他产品成本表!I37+[2]其他产品成本表!I47+[2]其他产品成本表!I57+[2]其他产品成本表!I67+[2]其他产品成本表!I77+[2]其他产品成本表!I87+[2]其他产品成本表!I97</f>
        <v>0</v>
      </c>
      <c r="I6" s="75">
        <f>[2]A产品成本分析表!J7+[2]B产品成本分析表!J7+[2]C产品成本分析表!J7+[2]D产品成本分析表!J7+[2]E产品成本分析表!J7+[2]F产品成本分析表!J7+[2]G产品成本分析表!J7+[2]其他产品成本表!J17+[2]其他产品成本表!J7+[2]其他产品成本表!J27+[2]其他产品成本表!J37+[2]其他产品成本表!J47+[2]其他产品成本表!J57+[2]其他产品成本表!J67+[2]其他产品成本表!J77+[2]其他产品成本表!J87+[2]其他产品成本表!J97</f>
        <v>0</v>
      </c>
      <c r="J6" s="75">
        <f>[2]A产品成本分析表!K7+[2]B产品成本分析表!K7+[2]C产品成本分析表!K7+[2]D产品成本分析表!K7+[2]E产品成本分析表!K7+[2]F产品成本分析表!K7+[2]G产品成本分析表!K7+[2]其他产品成本表!K17+[2]其他产品成本表!K7+[2]其他产品成本表!K27+[2]其他产品成本表!K37+[2]其他产品成本表!K47+[2]其他产品成本表!K57+[2]其他产品成本表!K67+[2]其他产品成本表!K77+[2]其他产品成本表!K87+[2]其他产品成本表!K97</f>
        <v>0</v>
      </c>
      <c r="K6" s="75">
        <f>[2]A产品成本分析表!L7+[2]B产品成本分析表!L7+[2]C产品成本分析表!L7+[2]D产品成本分析表!L7+[2]E产品成本分析表!L7+[2]F产品成本分析表!L7+[2]G产品成本分析表!L7+[2]其他产品成本表!L17+[2]其他产品成本表!L7+[2]其他产品成本表!L27+[2]其他产品成本表!L37+[2]其他产品成本表!L47+[2]其他产品成本表!L57+[2]其他产品成本表!L67+[2]其他产品成本表!L77+[2]其他产品成本表!L87+[2]其他产品成本表!L97</f>
        <v>0</v>
      </c>
      <c r="L6" s="75">
        <f>[2]A产品成本分析表!M7+[2]B产品成本分析表!M7+[2]C产品成本分析表!M7+[2]D产品成本分析表!M7+[2]E产品成本分析表!M7+[2]F产品成本分析表!M7+[2]G产品成本分析表!M7+[2]其他产品成本表!M17+[2]其他产品成本表!M7+[2]其他产品成本表!M27+[2]其他产品成本表!M37+[2]其他产品成本表!M47+[2]其他产品成本表!M57+[2]其他产品成本表!M67+[2]其他产品成本表!M77+[2]其他产品成本表!M87+[2]其他产品成本表!M97</f>
        <v>0</v>
      </c>
      <c r="M6" s="75">
        <f>[2]A产品成本分析表!N7+[2]B产品成本分析表!N7+[2]C产品成本分析表!N7+[2]D产品成本分析表!N7+[2]E产品成本分析表!N7+[2]F产品成本分析表!N7+[2]G产品成本分析表!N7+[2]其他产品成本表!N17+[2]其他产品成本表!N7+[2]其他产品成本表!N27+[2]其他产品成本表!N37+[2]其他产品成本表!N47+[2]其他产品成本表!N57+[2]其他产品成本表!N67+[2]其他产品成本表!N77+[2]其他产品成本表!N87+[2]其他产品成本表!N97</f>
        <v>0</v>
      </c>
      <c r="N6" s="75">
        <f t="shared" si="1"/>
        <v>0</v>
      </c>
      <c r="O6" s="77">
        <f t="shared" si="2"/>
        <v>0</v>
      </c>
      <c r="P6" s="87" t="str">
        <f>IF(O6=0,"",RANK(O6,$O$4:$O$7))</f>
        <v/>
      </c>
      <c r="Q6" s="81"/>
      <c r="R6" s="81"/>
      <c r="S6" s="81"/>
      <c r="T6" s="81"/>
      <c r="U6" s="81"/>
      <c r="V6" s="81"/>
      <c r="W6" s="81"/>
      <c r="X6" s="81"/>
      <c r="Y6" s="81"/>
      <c r="Z6" s="81"/>
      <c r="AA6" s="81"/>
      <c r="AB6" s="81"/>
      <c r="AC6" s="81"/>
      <c r="AD6" s="81"/>
    </row>
    <row r="7" ht="11.25" customHeight="1" spans="1:30">
      <c r="A7" s="74" t="s">
        <v>554</v>
      </c>
      <c r="B7" s="75">
        <f>[2]A产品成本分析表!C8+[2]B产品成本分析表!C8+[2]C产品成本分析表!C8+[2]D产品成本分析表!C8+[2]E产品成本分析表!C8+[2]F产品成本分析表!C8+[2]G产品成本分析表!C8+[2]其他产品成本表!C18+[2]其他产品成本表!C8+[2]其他产品成本表!C28+[2]其他产品成本表!C38+[2]其他产品成本表!C48+[2]其他产品成本表!C58+[2]其他产品成本表!C68+[2]其他产品成本表!C78+[2]其他产品成本表!C88+[2]其他产品成本表!C98</f>
        <v>0</v>
      </c>
      <c r="C7" s="75">
        <f>[2]A产品成本分析表!D8+[2]B产品成本分析表!D8+[2]C产品成本分析表!D8+[2]D产品成本分析表!D8+[2]E产品成本分析表!D8+[2]F产品成本分析表!D8+[2]G产品成本分析表!D8+[2]其他产品成本表!D18+[2]其他产品成本表!D8+[2]其他产品成本表!D28+[2]其他产品成本表!D38+[2]其他产品成本表!D48+[2]其他产品成本表!D58+[2]其他产品成本表!D68+[2]其他产品成本表!D78+[2]其他产品成本表!D88+[2]其他产品成本表!D98</f>
        <v>0</v>
      </c>
      <c r="D7" s="75">
        <f>[2]A产品成本分析表!E8+[2]B产品成本分析表!E8+[2]C产品成本分析表!E8+[2]D产品成本分析表!E8+[2]E产品成本分析表!E8+[2]F产品成本分析表!E8+[2]G产品成本分析表!E8+[2]其他产品成本表!E18+[2]其他产品成本表!E8+[2]其他产品成本表!E28+[2]其他产品成本表!E38+[2]其他产品成本表!E48+[2]其他产品成本表!E58+[2]其他产品成本表!E68+[2]其他产品成本表!E78+[2]其他产品成本表!E88+[2]其他产品成本表!E98</f>
        <v>0</v>
      </c>
      <c r="E7" s="75">
        <f>[2]A产品成本分析表!F8+[2]B产品成本分析表!F8+[2]C产品成本分析表!F8+[2]D产品成本分析表!F8+[2]E产品成本分析表!F8+[2]F产品成本分析表!F8+[2]G产品成本分析表!F8+[2]其他产品成本表!F18+[2]其他产品成本表!F8+[2]其他产品成本表!F28+[2]其他产品成本表!F38+[2]其他产品成本表!F48+[2]其他产品成本表!F58+[2]其他产品成本表!F68+[2]其他产品成本表!F78+[2]其他产品成本表!F88+[2]其他产品成本表!F98</f>
        <v>0</v>
      </c>
      <c r="F7" s="75">
        <f>[2]A产品成本分析表!G8+[2]B产品成本分析表!G8+[2]C产品成本分析表!G8+[2]D产品成本分析表!G8+[2]E产品成本分析表!G8+[2]F产品成本分析表!G8+[2]G产品成本分析表!G8+[2]其他产品成本表!G18+[2]其他产品成本表!G8+[2]其他产品成本表!G28+[2]其他产品成本表!G38+[2]其他产品成本表!G48+[2]其他产品成本表!G58+[2]其他产品成本表!G68+[2]其他产品成本表!G78+[2]其他产品成本表!G88+[2]其他产品成本表!G98</f>
        <v>0</v>
      </c>
      <c r="G7" s="75">
        <f>[2]A产品成本分析表!H8+[2]B产品成本分析表!H8+[2]C产品成本分析表!H8+[2]D产品成本分析表!H8+[2]E产品成本分析表!H8+[2]F产品成本分析表!H8+[2]G产品成本分析表!H8+[2]其他产品成本表!H18+[2]其他产品成本表!H8+[2]其他产品成本表!H28+[2]其他产品成本表!H38+[2]其他产品成本表!H48+[2]其他产品成本表!H58+[2]其他产品成本表!H68+[2]其他产品成本表!H78+[2]其他产品成本表!H88+[2]其他产品成本表!H98</f>
        <v>0</v>
      </c>
      <c r="H7" s="75">
        <f>[2]A产品成本分析表!I8+[2]B产品成本分析表!I8+[2]C产品成本分析表!I8+[2]D产品成本分析表!I8+[2]E产品成本分析表!I8+[2]F产品成本分析表!I8+[2]G产品成本分析表!I8+[2]其他产品成本表!I18+[2]其他产品成本表!I8+[2]其他产品成本表!I28+[2]其他产品成本表!I38+[2]其他产品成本表!I48+[2]其他产品成本表!I58+[2]其他产品成本表!I68+[2]其他产品成本表!I78+[2]其他产品成本表!I88+[2]其他产品成本表!I98</f>
        <v>0</v>
      </c>
      <c r="I7" s="75">
        <f>[2]A产品成本分析表!J8+[2]B产品成本分析表!J8+[2]C产品成本分析表!J8+[2]D产品成本分析表!J8+[2]E产品成本分析表!J8+[2]F产品成本分析表!J8+[2]G产品成本分析表!J8+[2]其他产品成本表!J18+[2]其他产品成本表!J8+[2]其他产品成本表!J28+[2]其他产品成本表!J38+[2]其他产品成本表!J48+[2]其他产品成本表!J58+[2]其他产品成本表!J68+[2]其他产品成本表!J78+[2]其他产品成本表!J88+[2]其他产品成本表!J98</f>
        <v>0</v>
      </c>
      <c r="J7" s="75">
        <f>[2]A产品成本分析表!K8+[2]B产品成本分析表!K8+[2]C产品成本分析表!K8+[2]D产品成本分析表!K8+[2]E产品成本分析表!K8+[2]F产品成本分析表!K8+[2]G产品成本分析表!K8+[2]其他产品成本表!K18+[2]其他产品成本表!K8+[2]其他产品成本表!K28+[2]其他产品成本表!K38+[2]其他产品成本表!K48+[2]其他产品成本表!K58+[2]其他产品成本表!K68+[2]其他产品成本表!K78+[2]其他产品成本表!K88+[2]其他产品成本表!K98</f>
        <v>0</v>
      </c>
      <c r="K7" s="75">
        <f>[2]A产品成本分析表!L8+[2]B产品成本分析表!L8+[2]C产品成本分析表!L8+[2]D产品成本分析表!L8+[2]E产品成本分析表!L8+[2]F产品成本分析表!L8+[2]G产品成本分析表!L8+[2]其他产品成本表!L18+[2]其他产品成本表!L8+[2]其他产品成本表!L28+[2]其他产品成本表!L38+[2]其他产品成本表!L48+[2]其他产品成本表!L58+[2]其他产品成本表!L68+[2]其他产品成本表!L78+[2]其他产品成本表!L88+[2]其他产品成本表!L98</f>
        <v>0</v>
      </c>
      <c r="L7" s="75">
        <f>[2]A产品成本分析表!M8+[2]B产品成本分析表!M8+[2]C产品成本分析表!M8+[2]D产品成本分析表!M8+[2]E产品成本分析表!M8+[2]F产品成本分析表!M8+[2]G产品成本分析表!M8+[2]其他产品成本表!M18+[2]其他产品成本表!M8+[2]其他产品成本表!M28+[2]其他产品成本表!M38+[2]其他产品成本表!M48+[2]其他产品成本表!M58+[2]其他产品成本表!M68+[2]其他产品成本表!M78+[2]其他产品成本表!M88+[2]其他产品成本表!M98</f>
        <v>0</v>
      </c>
      <c r="M7" s="75">
        <f>[2]A产品成本分析表!N8+[2]B产品成本分析表!N8+[2]C产品成本分析表!N8+[2]D产品成本分析表!N8+[2]E产品成本分析表!N8+[2]F产品成本分析表!N8+[2]G产品成本分析表!N8+[2]其他产品成本表!N18+[2]其他产品成本表!N8+[2]其他产品成本表!N28+[2]其他产品成本表!N38+[2]其他产品成本表!N48+[2]其他产品成本表!N58+[2]其他产品成本表!N68+[2]其他产品成本表!N78+[2]其他产品成本表!N88+[2]其他产品成本表!N98</f>
        <v>0</v>
      </c>
      <c r="N7" s="75">
        <f t="shared" si="1"/>
        <v>0</v>
      </c>
      <c r="O7" s="77">
        <f t="shared" si="2"/>
        <v>0</v>
      </c>
      <c r="P7" s="87"/>
      <c r="Q7" s="81"/>
      <c r="R7" s="81"/>
      <c r="S7" s="81"/>
      <c r="T7" s="81"/>
      <c r="U7" s="81"/>
      <c r="V7" s="81"/>
      <c r="W7" s="81"/>
      <c r="X7" s="81"/>
      <c r="Y7" s="81"/>
      <c r="Z7" s="81"/>
      <c r="AA7" s="81"/>
      <c r="AB7" s="81"/>
      <c r="AC7" s="81"/>
      <c r="AD7" s="81"/>
    </row>
    <row r="8" ht="11.25" customHeight="1" spans="1:30">
      <c r="A8" s="71" t="s">
        <v>689</v>
      </c>
      <c r="B8" s="73">
        <f t="shared" ref="B8:M8" si="3">SUM(B4:B7)</f>
        <v>0</v>
      </c>
      <c r="C8" s="73">
        <f t="shared" si="3"/>
        <v>0</v>
      </c>
      <c r="D8" s="73">
        <f t="shared" si="3"/>
        <v>0</v>
      </c>
      <c r="E8" s="73">
        <f t="shared" si="3"/>
        <v>0</v>
      </c>
      <c r="F8" s="73">
        <f t="shared" si="3"/>
        <v>0</v>
      </c>
      <c r="G8" s="73">
        <f t="shared" si="3"/>
        <v>0</v>
      </c>
      <c r="H8" s="73">
        <f t="shared" si="3"/>
        <v>0</v>
      </c>
      <c r="I8" s="73">
        <f t="shared" si="3"/>
        <v>0</v>
      </c>
      <c r="J8" s="73">
        <f t="shared" si="3"/>
        <v>0</v>
      </c>
      <c r="K8" s="73">
        <f t="shared" si="3"/>
        <v>0</v>
      </c>
      <c r="L8" s="73">
        <f t="shared" si="3"/>
        <v>0</v>
      </c>
      <c r="M8" s="73">
        <f t="shared" si="3"/>
        <v>0</v>
      </c>
      <c r="N8" s="73">
        <f t="shared" si="1"/>
        <v>0</v>
      </c>
      <c r="O8" s="78">
        <f t="shared" si="2"/>
        <v>0</v>
      </c>
      <c r="P8" s="75"/>
      <c r="Q8" s="81"/>
      <c r="R8" s="81"/>
      <c r="S8" s="81"/>
      <c r="T8" s="81"/>
      <c r="U8" s="81"/>
      <c r="V8" s="81"/>
      <c r="W8" s="81"/>
      <c r="X8" s="81"/>
      <c r="Y8" s="81"/>
      <c r="Z8" s="81"/>
      <c r="AA8" s="81"/>
      <c r="AB8" s="81"/>
      <c r="AC8" s="81"/>
      <c r="AD8" s="81"/>
    </row>
    <row r="9" ht="11.25" customHeight="1" spans="1:30">
      <c r="A9" s="74" t="s">
        <v>1455</v>
      </c>
      <c r="B9" s="75">
        <f>A产品成本分析表!C10+B产品成本分析表!C10+C产品成本分析表!C10+D产品成本分析表!C10+E产品成本分析表!C10+F产品成本分析表!C10+G产品成本分析表!C10+其他产品成本表!C20+其他产品成本表!C10+其他产品成本表!C30+其他产品成本表!C40+其他产品成本表!C50+其他产品成本表!C60+其他产品成本表!C70+其他产品成本表!C80+其他产品成本表!C90+其他产品成本表!C100</f>
        <v>0</v>
      </c>
      <c r="C9" s="75">
        <f>A产品成本分析表!D10+B产品成本分析表!D10+C产品成本分析表!D10+D产品成本分析表!D10+E产品成本分析表!D10+F产品成本分析表!D10+G产品成本分析表!D10+其他产品成本表!D20+其他产品成本表!D10+其他产品成本表!D30+其他产品成本表!D40+其他产品成本表!D50+其他产品成本表!D60+其他产品成本表!D70+其他产品成本表!D80+其他产品成本表!D90+其他产品成本表!D100</f>
        <v>0</v>
      </c>
      <c r="D9" s="75">
        <f>A产品成本分析表!E10+B产品成本分析表!E10+C产品成本分析表!E10+D产品成本分析表!E10+E产品成本分析表!E10+F产品成本分析表!E10+G产品成本分析表!E10+其他产品成本表!E20+其他产品成本表!E10+其他产品成本表!E30+其他产品成本表!E40+其他产品成本表!E50+其他产品成本表!E60+其他产品成本表!E70+其他产品成本表!E80+其他产品成本表!E90+其他产品成本表!E100</f>
        <v>0</v>
      </c>
      <c r="E9" s="75">
        <f>A产品成本分析表!F10+B产品成本分析表!F10+C产品成本分析表!F10+D产品成本分析表!F10+E产品成本分析表!F10+F产品成本分析表!F10+G产品成本分析表!F10+其他产品成本表!F20+其他产品成本表!F10+其他产品成本表!F30+其他产品成本表!F40+其他产品成本表!F50+其他产品成本表!F60+其他产品成本表!F70+其他产品成本表!F80+其他产品成本表!F90+其他产品成本表!F100</f>
        <v>0</v>
      </c>
      <c r="F9" s="75">
        <f>A产品成本分析表!G10+B产品成本分析表!G10+C产品成本分析表!G10+D产品成本分析表!G10+E产品成本分析表!G10+F产品成本分析表!G10+G产品成本分析表!G10+其他产品成本表!G20+其他产品成本表!G10+其他产品成本表!G30+其他产品成本表!G40+其他产品成本表!G50+其他产品成本表!G60+其他产品成本表!G70+其他产品成本表!G80+其他产品成本表!G90+其他产品成本表!G100</f>
        <v>0</v>
      </c>
      <c r="G9" s="75">
        <f>A产品成本分析表!H10+B产品成本分析表!H10+C产品成本分析表!H10+D产品成本分析表!H10+E产品成本分析表!H10+F产品成本分析表!H10+G产品成本分析表!H10+其他产品成本表!H20+其他产品成本表!H10+其他产品成本表!H30+其他产品成本表!H40+其他产品成本表!H50+其他产品成本表!H60+其他产品成本表!H70+其他产品成本表!H80+其他产品成本表!H90+其他产品成本表!H100</f>
        <v>0</v>
      </c>
      <c r="H9" s="75">
        <f>A产品成本分析表!I10+B产品成本分析表!I10+C产品成本分析表!I10+D产品成本分析表!I10+E产品成本分析表!I10+F产品成本分析表!I10+G产品成本分析表!I10+其他产品成本表!I20+其他产品成本表!I10+其他产品成本表!I30+其他产品成本表!I40+其他产品成本表!I50+其他产品成本表!I60+其他产品成本表!I70+其他产品成本表!I80+其他产品成本表!I90+其他产品成本表!I100</f>
        <v>0</v>
      </c>
      <c r="I9" s="75">
        <f>A产品成本分析表!J10+B产品成本分析表!J10+C产品成本分析表!J10+D产品成本分析表!J10+E产品成本分析表!J10+F产品成本分析表!J10+G产品成本分析表!J10+其他产品成本表!J20+其他产品成本表!J10+其他产品成本表!J30+其他产品成本表!J40+其他产品成本表!J50+其他产品成本表!J60+其他产品成本表!J70+其他产品成本表!J80+其他产品成本表!J90+其他产品成本表!J100</f>
        <v>0</v>
      </c>
      <c r="J9" s="75">
        <f>A产品成本分析表!K10+B产品成本分析表!K10+C产品成本分析表!K10+D产品成本分析表!K10+E产品成本分析表!K10+F产品成本分析表!K10+G产品成本分析表!K10+其他产品成本表!K20+其他产品成本表!K10+其他产品成本表!K30+其他产品成本表!K40+其他产品成本表!K50+其他产品成本表!K60+其他产品成本表!K70+其他产品成本表!K80+其他产品成本表!K90+其他产品成本表!K100</f>
        <v>0</v>
      </c>
      <c r="K9" s="75">
        <f>A产品成本分析表!L10+B产品成本分析表!L10+C产品成本分析表!L10+D产品成本分析表!L10+E产品成本分析表!L10+F产品成本分析表!L10+G产品成本分析表!L10+其他产品成本表!L20+其他产品成本表!L10+其他产品成本表!L30+其他产品成本表!L40+其他产品成本表!L50+其他产品成本表!L60+其他产品成本表!L70+其他产品成本表!L80+其他产品成本表!L90+其他产品成本表!L100</f>
        <v>0</v>
      </c>
      <c r="L9" s="75">
        <f>A产品成本分析表!M10+B产品成本分析表!M10+C产品成本分析表!M10+D产品成本分析表!M10+E产品成本分析表!M10+F产品成本分析表!M10+G产品成本分析表!M10+其他产品成本表!M20+其他产品成本表!M10+其他产品成本表!M30+其他产品成本表!M40+其他产品成本表!M50+其他产品成本表!M60+其他产品成本表!M70+其他产品成本表!M80+其他产品成本表!M90+其他产品成本表!M100</f>
        <v>0</v>
      </c>
      <c r="M9" s="75">
        <f>A产品成本分析表!N10+B产品成本分析表!N10+C产品成本分析表!N10+D产品成本分析表!N10+E产品成本分析表!N10+F产品成本分析表!N10+G产品成本分析表!N10+其他产品成本表!N20+其他产品成本表!N10+其他产品成本表!N30+其他产品成本表!N40+其他产品成本表!N50+其他产品成本表!N60+其他产品成本表!N70+其他产品成本表!N80+其他产品成本表!N90+其他产品成本表!N100</f>
        <v>0</v>
      </c>
      <c r="N9" s="75">
        <f t="shared" si="1"/>
        <v>0</v>
      </c>
      <c r="O9" s="77"/>
      <c r="P9" s="88"/>
      <c r="Q9" s="81"/>
      <c r="R9" s="81"/>
      <c r="S9" s="81"/>
      <c r="T9" s="81"/>
      <c r="U9" s="81"/>
      <c r="V9" s="81"/>
      <c r="W9" s="81"/>
      <c r="X9" s="81"/>
      <c r="Y9" s="81"/>
      <c r="Z9" s="81"/>
      <c r="AA9" s="81"/>
      <c r="AB9" s="81"/>
      <c r="AC9" s="81"/>
      <c r="AD9" s="81"/>
    </row>
    <row r="10" ht="11.25" customHeight="1" spans="1:30">
      <c r="A10" s="71" t="s">
        <v>1456</v>
      </c>
      <c r="B10" s="73">
        <f t="shared" ref="B10:M10" si="4">B3+B8-B9</f>
        <v>0</v>
      </c>
      <c r="C10" s="73">
        <f t="shared" si="4"/>
        <v>0</v>
      </c>
      <c r="D10" s="73">
        <f t="shared" si="4"/>
        <v>0</v>
      </c>
      <c r="E10" s="73">
        <f t="shared" si="4"/>
        <v>0</v>
      </c>
      <c r="F10" s="73">
        <f t="shared" si="4"/>
        <v>0</v>
      </c>
      <c r="G10" s="73">
        <f t="shared" si="4"/>
        <v>0</v>
      </c>
      <c r="H10" s="73">
        <f t="shared" si="4"/>
        <v>0</v>
      </c>
      <c r="I10" s="73">
        <f t="shared" si="4"/>
        <v>0</v>
      </c>
      <c r="J10" s="73">
        <f t="shared" si="4"/>
        <v>0</v>
      </c>
      <c r="K10" s="73">
        <f t="shared" si="4"/>
        <v>0</v>
      </c>
      <c r="L10" s="73">
        <f t="shared" si="4"/>
        <v>0</v>
      </c>
      <c r="M10" s="73">
        <f t="shared" si="4"/>
        <v>0</v>
      </c>
      <c r="N10" s="73">
        <f>B3+N8-N9</f>
        <v>0</v>
      </c>
      <c r="O10" s="78"/>
      <c r="P10" s="88"/>
      <c r="Q10" s="81"/>
      <c r="R10" s="81"/>
      <c r="S10" s="81"/>
      <c r="T10" s="81"/>
      <c r="U10" s="81"/>
      <c r="V10" s="81"/>
      <c r="W10" s="81"/>
      <c r="X10" s="81"/>
      <c r="Y10" s="81"/>
      <c r="Z10" s="81"/>
      <c r="AA10" s="81"/>
      <c r="AB10" s="81"/>
      <c r="AC10" s="81"/>
      <c r="AD10" s="81"/>
    </row>
    <row r="11" ht="11.25" customHeight="1" spans="1:30">
      <c r="A11" s="76" t="str">
        <f t="shared" ref="A11:A14" si="5">IF(A4&lt;&gt;"",CONCATENATE(A4,"比重"),"")</f>
        <v>直接材料比重</v>
      </c>
      <c r="B11" s="77">
        <f t="shared" ref="B11:B14" si="6">IF($B$8=0,0,B4/$B$8)</f>
        <v>0</v>
      </c>
      <c r="C11" s="77">
        <f t="shared" ref="C11:C14" si="7">IF($C$8=0,0,C4/$C$8)</f>
        <v>0</v>
      </c>
      <c r="D11" s="77">
        <f t="shared" ref="D11:D14" si="8">IF($D$8=0,0,D4/$D$8)</f>
        <v>0</v>
      </c>
      <c r="E11" s="77">
        <f t="shared" ref="E11:E14" si="9">IF($E$8=0,0,E4/$E$8)</f>
        <v>0</v>
      </c>
      <c r="F11" s="77">
        <f t="shared" ref="F11:F14" si="10">IF($F$8=0,0,F4/$F$8)</f>
        <v>0</v>
      </c>
      <c r="G11" s="77">
        <f t="shared" ref="G11:G14" si="11">IF($G$8=0,0,G4/$G$8)</f>
        <v>0</v>
      </c>
      <c r="H11" s="77">
        <f t="shared" ref="H11:H14" si="12">IF($H$8=0,0,H4/$H$8)</f>
        <v>0</v>
      </c>
      <c r="I11" s="77">
        <f t="shared" ref="I11:I14" si="13">IF($I$8=0,0,I4/$I$8)</f>
        <v>0</v>
      </c>
      <c r="J11" s="77">
        <f t="shared" ref="J11:J14" si="14">IF($J$8=0,0,J4/$J$8)</f>
        <v>0</v>
      </c>
      <c r="K11" s="77">
        <f t="shared" ref="K11:K14" si="15">IF($K$8=0,0,K4/$K$8)</f>
        <v>0</v>
      </c>
      <c r="L11" s="77">
        <f t="shared" ref="L11:L14" si="16">IF($L$8=0,0,L4/$L$8)</f>
        <v>0</v>
      </c>
      <c r="M11" s="77">
        <f t="shared" ref="M11:M14" si="17">IF($M$8=0,0,M4/$M$8)</f>
        <v>0</v>
      </c>
      <c r="N11" s="89" t="str">
        <f>CONCATENATE("平均数：",TEXT(N8/12,"0.00"))</f>
        <v>平均数：0.00</v>
      </c>
      <c r="O11" s="90"/>
      <c r="P11" s="90"/>
      <c r="Q11" s="91"/>
      <c r="R11" s="91"/>
      <c r="S11" s="91"/>
      <c r="T11" s="91"/>
      <c r="U11" s="91"/>
      <c r="V11" s="91"/>
      <c r="W11" s="91"/>
      <c r="X11" s="91"/>
      <c r="Y11" s="91"/>
      <c r="Z11" s="91"/>
      <c r="AA11" s="91"/>
      <c r="AB11" s="91"/>
      <c r="AC11" s="81"/>
      <c r="AD11" s="81"/>
    </row>
    <row r="12" ht="11.25" customHeight="1" spans="1:30">
      <c r="A12" s="76" t="str">
        <f t="shared" si="5"/>
        <v>直接人工比重</v>
      </c>
      <c r="B12" s="77">
        <f t="shared" si="6"/>
        <v>0</v>
      </c>
      <c r="C12" s="77">
        <f t="shared" si="7"/>
        <v>0</v>
      </c>
      <c r="D12" s="77">
        <f t="shared" si="8"/>
        <v>0</v>
      </c>
      <c r="E12" s="77">
        <f t="shared" si="9"/>
        <v>0</v>
      </c>
      <c r="F12" s="77">
        <f t="shared" si="10"/>
        <v>0</v>
      </c>
      <c r="G12" s="77">
        <f t="shared" si="11"/>
        <v>0</v>
      </c>
      <c r="H12" s="77">
        <f t="shared" si="12"/>
        <v>0</v>
      </c>
      <c r="I12" s="77">
        <f t="shared" si="13"/>
        <v>0</v>
      </c>
      <c r="J12" s="77">
        <f t="shared" si="14"/>
        <v>0</v>
      </c>
      <c r="K12" s="77">
        <f t="shared" si="15"/>
        <v>0</v>
      </c>
      <c r="L12" s="77">
        <f t="shared" si="16"/>
        <v>0</v>
      </c>
      <c r="M12" s="77">
        <f t="shared" si="17"/>
        <v>0</v>
      </c>
      <c r="N12" s="89" t="str">
        <f>CONCATENATE("标准差：",TEXT(SQRT(DEVSQ(B8:M8)/12),"0.00"))</f>
        <v>标准差：0.00</v>
      </c>
      <c r="O12" s="90"/>
      <c r="P12" s="90"/>
      <c r="Q12" s="91"/>
      <c r="R12" s="91"/>
      <c r="S12" s="91"/>
      <c r="T12" s="91"/>
      <c r="U12" s="91"/>
      <c r="V12" s="91"/>
      <c r="W12" s="91"/>
      <c r="X12" s="91"/>
      <c r="Y12" s="91"/>
      <c r="Z12" s="91"/>
      <c r="AA12" s="91"/>
      <c r="AB12" s="91"/>
      <c r="AC12" s="81"/>
      <c r="AD12" s="81"/>
    </row>
    <row r="13" ht="11.25" customHeight="1" spans="1:30">
      <c r="A13" s="76" t="str">
        <f t="shared" si="5"/>
        <v>制造费用比重</v>
      </c>
      <c r="B13" s="77">
        <f t="shared" si="6"/>
        <v>0</v>
      </c>
      <c r="C13" s="77">
        <f t="shared" si="7"/>
        <v>0</v>
      </c>
      <c r="D13" s="77">
        <f t="shared" si="8"/>
        <v>0</v>
      </c>
      <c r="E13" s="77">
        <f t="shared" si="9"/>
        <v>0</v>
      </c>
      <c r="F13" s="77">
        <f t="shared" si="10"/>
        <v>0</v>
      </c>
      <c r="G13" s="77">
        <f t="shared" si="11"/>
        <v>0</v>
      </c>
      <c r="H13" s="77">
        <f t="shared" si="12"/>
        <v>0</v>
      </c>
      <c r="I13" s="77">
        <f t="shared" si="13"/>
        <v>0</v>
      </c>
      <c r="J13" s="77">
        <f t="shared" si="14"/>
        <v>0</v>
      </c>
      <c r="K13" s="77">
        <f t="shared" si="15"/>
        <v>0</v>
      </c>
      <c r="L13" s="77">
        <f t="shared" si="16"/>
        <v>0</v>
      </c>
      <c r="M13" s="77">
        <f t="shared" si="17"/>
        <v>0</v>
      </c>
      <c r="N13" s="88"/>
      <c r="O13" s="91"/>
      <c r="P13" s="88"/>
      <c r="Q13" s="91"/>
      <c r="R13" s="91"/>
      <c r="S13" s="91"/>
      <c r="T13" s="91"/>
      <c r="U13" s="91"/>
      <c r="V13" s="91"/>
      <c r="W13" s="91"/>
      <c r="X13" s="91"/>
      <c r="Y13" s="91"/>
      <c r="Z13" s="91"/>
      <c r="AA13" s="91"/>
      <c r="AB13" s="91"/>
      <c r="AC13" s="81"/>
      <c r="AD13" s="81"/>
    </row>
    <row r="14" ht="11.25" customHeight="1" spans="1:30">
      <c r="A14" s="76" t="str">
        <f t="shared" si="5"/>
        <v>其他比重</v>
      </c>
      <c r="B14" s="77">
        <f t="shared" si="6"/>
        <v>0</v>
      </c>
      <c r="C14" s="77">
        <f t="shared" si="7"/>
        <v>0</v>
      </c>
      <c r="D14" s="77">
        <f t="shared" si="8"/>
        <v>0</v>
      </c>
      <c r="E14" s="77">
        <f t="shared" si="9"/>
        <v>0</v>
      </c>
      <c r="F14" s="77">
        <f t="shared" si="10"/>
        <v>0</v>
      </c>
      <c r="G14" s="77">
        <f t="shared" si="11"/>
        <v>0</v>
      </c>
      <c r="H14" s="77">
        <f t="shared" si="12"/>
        <v>0</v>
      </c>
      <c r="I14" s="77">
        <f t="shared" si="13"/>
        <v>0</v>
      </c>
      <c r="J14" s="77">
        <f t="shared" si="14"/>
        <v>0</v>
      </c>
      <c r="K14" s="77">
        <f t="shared" si="15"/>
        <v>0</v>
      </c>
      <c r="L14" s="77">
        <f t="shared" si="16"/>
        <v>0</v>
      </c>
      <c r="M14" s="77">
        <f t="shared" si="17"/>
        <v>0</v>
      </c>
      <c r="N14" s="88"/>
      <c r="O14" s="91"/>
      <c r="P14" s="88"/>
      <c r="Q14" s="91"/>
      <c r="R14" s="91"/>
      <c r="S14" s="91"/>
      <c r="T14" s="91"/>
      <c r="U14" s="91"/>
      <c r="V14" s="91"/>
      <c r="W14" s="91"/>
      <c r="X14" s="91"/>
      <c r="Y14" s="91"/>
      <c r="Z14" s="91"/>
      <c r="AA14" s="91"/>
      <c r="AB14" s="91"/>
      <c r="AC14" s="81"/>
      <c r="AD14" s="81"/>
    </row>
    <row r="15" ht="11.25" customHeight="1" spans="1:30">
      <c r="A15" s="71" t="s">
        <v>689</v>
      </c>
      <c r="B15" s="78">
        <f t="shared" ref="B15:M15" si="18">SUM(B11:B14)</f>
        <v>0</v>
      </c>
      <c r="C15" s="78">
        <f t="shared" si="18"/>
        <v>0</v>
      </c>
      <c r="D15" s="78">
        <f t="shared" si="18"/>
        <v>0</v>
      </c>
      <c r="E15" s="78">
        <f t="shared" si="18"/>
        <v>0</v>
      </c>
      <c r="F15" s="78">
        <f t="shared" si="18"/>
        <v>0</v>
      </c>
      <c r="G15" s="78">
        <f t="shared" si="18"/>
        <v>0</v>
      </c>
      <c r="H15" s="78">
        <f t="shared" si="18"/>
        <v>0</v>
      </c>
      <c r="I15" s="78">
        <f t="shared" si="18"/>
        <v>0</v>
      </c>
      <c r="J15" s="78">
        <f t="shared" si="18"/>
        <v>0</v>
      </c>
      <c r="K15" s="78">
        <f t="shared" si="18"/>
        <v>0</v>
      </c>
      <c r="L15" s="78">
        <f t="shared" si="18"/>
        <v>0</v>
      </c>
      <c r="M15" s="78">
        <f t="shared" si="18"/>
        <v>0</v>
      </c>
      <c r="N15" s="88"/>
      <c r="O15" s="91"/>
      <c r="P15" s="88"/>
      <c r="Q15" s="91"/>
      <c r="R15" s="91"/>
      <c r="S15" s="91"/>
      <c r="T15" s="91"/>
      <c r="U15" s="91"/>
      <c r="V15" s="91"/>
      <c r="W15" s="91"/>
      <c r="X15" s="91"/>
      <c r="Y15" s="91"/>
      <c r="Z15" s="91"/>
      <c r="AA15" s="91"/>
      <c r="AB15" s="91"/>
      <c r="AC15" s="81"/>
      <c r="AD15" s="81"/>
    </row>
    <row r="16" spans="1:30">
      <c r="A16" s="79" t="s">
        <v>1457</v>
      </c>
      <c r="B16" s="80"/>
      <c r="C16" s="81"/>
      <c r="D16" s="81"/>
      <c r="E16" s="82"/>
      <c r="F16" s="81"/>
      <c r="G16" s="83" t="s">
        <v>1458</v>
      </c>
      <c r="H16" s="84"/>
      <c r="I16" s="81"/>
      <c r="J16" s="81"/>
      <c r="K16" s="81"/>
      <c r="L16" s="81"/>
      <c r="M16" s="81"/>
      <c r="N16" s="81"/>
      <c r="O16" s="81"/>
      <c r="P16" s="81"/>
      <c r="Q16" s="81"/>
      <c r="R16" s="81"/>
      <c r="S16" s="81"/>
      <c r="T16" s="81"/>
      <c r="U16" s="81"/>
      <c r="V16" s="81"/>
      <c r="W16" s="81"/>
      <c r="X16" s="81"/>
      <c r="Y16" s="81"/>
      <c r="Z16" s="81"/>
      <c r="AA16" s="81"/>
      <c r="AB16" s="81"/>
      <c r="AC16" s="81"/>
      <c r="AD16" s="81"/>
    </row>
    <row r="17" spans="1:30">
      <c r="A17" s="81"/>
      <c r="B17" s="80"/>
      <c r="C17" s="81"/>
      <c r="D17" s="81"/>
      <c r="E17" s="82"/>
      <c r="F17" s="84"/>
      <c r="G17" s="84"/>
      <c r="H17" s="84"/>
      <c r="I17" s="81"/>
      <c r="J17" s="81"/>
      <c r="K17" s="81"/>
      <c r="L17" s="81"/>
      <c r="M17" s="81"/>
      <c r="N17" s="79" t="s">
        <v>1459</v>
      </c>
      <c r="O17" s="81"/>
      <c r="P17" s="81"/>
      <c r="Q17" s="81"/>
      <c r="R17" s="81"/>
      <c r="S17" s="81"/>
      <c r="T17" s="81"/>
      <c r="U17" s="81"/>
      <c r="V17" s="81"/>
      <c r="W17" s="81"/>
      <c r="X17" s="81"/>
      <c r="Y17" s="81"/>
      <c r="Z17" s="81"/>
      <c r="AA17" s="81"/>
      <c r="AB17" s="81"/>
      <c r="AC17" s="81"/>
      <c r="AD17" s="81"/>
    </row>
    <row r="18" spans="1:30">
      <c r="A18" s="81"/>
      <c r="B18" s="80"/>
      <c r="C18" s="81"/>
      <c r="D18" s="81"/>
      <c r="E18" s="82"/>
      <c r="F18" s="84"/>
      <c r="G18" s="84"/>
      <c r="H18" s="84"/>
      <c r="I18" s="81"/>
      <c r="J18" s="81"/>
      <c r="K18" s="81"/>
      <c r="L18" s="81"/>
      <c r="M18" s="81"/>
      <c r="N18" s="81"/>
      <c r="O18" s="81"/>
      <c r="P18" s="81"/>
      <c r="Q18" s="81"/>
      <c r="R18" s="81"/>
      <c r="S18" s="81"/>
      <c r="T18" s="81"/>
      <c r="U18" s="81"/>
      <c r="V18" s="81"/>
      <c r="W18" s="81"/>
      <c r="X18" s="81"/>
      <c r="Y18" s="81"/>
      <c r="Z18" s="81"/>
      <c r="AA18" s="81"/>
      <c r="AB18" s="81"/>
      <c r="AC18" s="81"/>
      <c r="AD18" s="81"/>
    </row>
    <row r="19" spans="1:30">
      <c r="A19" s="81"/>
      <c r="B19" s="80"/>
      <c r="C19" s="81"/>
      <c r="D19" s="81"/>
      <c r="E19" s="82"/>
      <c r="F19" s="84"/>
      <c r="G19" s="84"/>
      <c r="H19" s="84"/>
      <c r="I19" s="81"/>
      <c r="J19" s="81"/>
      <c r="K19" s="81"/>
      <c r="L19" s="81"/>
      <c r="M19" s="81"/>
      <c r="N19" s="81"/>
      <c r="O19" s="81"/>
      <c r="P19" s="81"/>
      <c r="Q19" s="81"/>
      <c r="R19" s="81"/>
      <c r="S19" s="81"/>
      <c r="T19" s="81"/>
      <c r="U19" s="81"/>
      <c r="V19" s="81"/>
      <c r="W19" s="81"/>
      <c r="X19" s="81"/>
      <c r="Y19" s="81"/>
      <c r="Z19" s="81"/>
      <c r="AA19" s="81"/>
      <c r="AB19" s="81"/>
      <c r="AC19" s="81"/>
      <c r="AD19" s="81"/>
    </row>
    <row r="20" spans="1:30">
      <c r="A20" s="81"/>
      <c r="B20" s="80"/>
      <c r="C20" s="81"/>
      <c r="D20" s="81"/>
      <c r="E20" s="82"/>
      <c r="F20" s="84"/>
      <c r="G20" s="84"/>
      <c r="H20" s="84"/>
      <c r="I20" s="81"/>
      <c r="J20" s="81"/>
      <c r="K20" s="81"/>
      <c r="L20" s="81"/>
      <c r="M20" s="81"/>
      <c r="N20" s="81"/>
      <c r="O20" s="81"/>
      <c r="P20" s="81"/>
      <c r="Q20" s="81"/>
      <c r="R20" s="81"/>
      <c r="S20" s="81"/>
      <c r="T20" s="81"/>
      <c r="U20" s="81"/>
      <c r="V20" s="81"/>
      <c r="W20" s="81"/>
      <c r="X20" s="81"/>
      <c r="Y20" s="81"/>
      <c r="Z20" s="81"/>
      <c r="AA20" s="81"/>
      <c r="AB20" s="81"/>
      <c r="AC20" s="81"/>
      <c r="AD20" s="81"/>
    </row>
    <row r="21" spans="1:30">
      <c r="A21" s="81"/>
      <c r="B21" s="80"/>
      <c r="C21" s="81"/>
      <c r="D21" s="81"/>
      <c r="E21" s="82"/>
      <c r="F21" s="84"/>
      <c r="G21" s="84"/>
      <c r="H21" s="84"/>
      <c r="I21" s="81"/>
      <c r="J21" s="81"/>
      <c r="K21" s="81"/>
      <c r="L21" s="81"/>
      <c r="M21" s="81"/>
      <c r="N21" s="81"/>
      <c r="O21" s="81"/>
      <c r="P21" s="81"/>
      <c r="Q21" s="81"/>
      <c r="R21" s="81"/>
      <c r="S21" s="81"/>
      <c r="T21" s="81"/>
      <c r="U21" s="81"/>
      <c r="V21" s="81"/>
      <c r="W21" s="81"/>
      <c r="X21" s="81"/>
      <c r="Y21" s="81"/>
      <c r="Z21" s="81"/>
      <c r="AA21" s="81"/>
      <c r="AB21" s="81"/>
      <c r="AC21" s="81"/>
      <c r="AD21" s="81"/>
    </row>
    <row r="22" spans="1:30">
      <c r="A22" s="81"/>
      <c r="B22" s="80"/>
      <c r="C22" s="81"/>
      <c r="D22" s="81"/>
      <c r="E22" s="82"/>
      <c r="F22" s="84"/>
      <c r="G22" s="84"/>
      <c r="H22" s="84"/>
      <c r="I22" s="81"/>
      <c r="J22" s="81"/>
      <c r="K22" s="81"/>
      <c r="L22" s="81"/>
      <c r="M22" s="81"/>
      <c r="N22" s="81"/>
      <c r="O22" s="81"/>
      <c r="P22" s="81"/>
      <c r="Q22" s="81"/>
      <c r="R22" s="81"/>
      <c r="S22" s="81"/>
      <c r="T22" s="81"/>
      <c r="U22" s="81"/>
      <c r="V22" s="81"/>
      <c r="W22" s="81"/>
      <c r="X22" s="81"/>
      <c r="Y22" s="81"/>
      <c r="Z22" s="81"/>
      <c r="AA22" s="81"/>
      <c r="AB22" s="81"/>
      <c r="AC22" s="81"/>
      <c r="AD22" s="81"/>
    </row>
    <row r="23" spans="1:30">
      <c r="A23" s="81"/>
      <c r="B23" s="80"/>
      <c r="C23" s="81"/>
      <c r="D23" s="81"/>
      <c r="E23" s="82"/>
      <c r="F23" s="84"/>
      <c r="G23" s="84"/>
      <c r="H23" s="84"/>
      <c r="I23" s="81"/>
      <c r="J23" s="81"/>
      <c r="K23" s="81"/>
      <c r="L23" s="81"/>
      <c r="M23" s="81"/>
      <c r="N23" s="81"/>
      <c r="O23" s="81"/>
      <c r="P23" s="81"/>
      <c r="Q23" s="81"/>
      <c r="R23" s="81"/>
      <c r="S23" s="81"/>
      <c r="T23" s="81"/>
      <c r="U23" s="81"/>
      <c r="V23" s="81"/>
      <c r="W23" s="81"/>
      <c r="X23" s="81"/>
      <c r="Y23" s="81"/>
      <c r="Z23" s="81"/>
      <c r="AA23" s="81"/>
      <c r="AB23" s="81"/>
      <c r="AC23" s="81"/>
      <c r="AD23" s="81"/>
    </row>
    <row r="24" spans="1:30">
      <c r="A24" s="81"/>
      <c r="B24" s="80"/>
      <c r="C24" s="81"/>
      <c r="D24" s="81"/>
      <c r="E24" s="82"/>
      <c r="F24" s="84"/>
      <c r="G24" s="84"/>
      <c r="H24" s="84"/>
      <c r="I24" s="81"/>
      <c r="J24" s="81"/>
      <c r="K24" s="81"/>
      <c r="L24" s="81"/>
      <c r="M24" s="81"/>
      <c r="N24" s="81"/>
      <c r="O24" s="81"/>
      <c r="P24" s="81"/>
      <c r="Q24" s="81"/>
      <c r="R24" s="81"/>
      <c r="S24" s="81"/>
      <c r="T24" s="81"/>
      <c r="U24" s="81"/>
      <c r="V24" s="81"/>
      <c r="W24" s="81"/>
      <c r="X24" s="81"/>
      <c r="Y24" s="81"/>
      <c r="Z24" s="81"/>
      <c r="AA24" s="81"/>
      <c r="AB24" s="81"/>
      <c r="AC24" s="81"/>
      <c r="AD24" s="81"/>
    </row>
    <row r="25" spans="1:30">
      <c r="A25" s="81"/>
      <c r="B25" s="80"/>
      <c r="C25" s="81"/>
      <c r="D25" s="81"/>
      <c r="E25" s="82"/>
      <c r="F25" s="84"/>
      <c r="G25" s="84"/>
      <c r="H25" s="84"/>
      <c r="I25" s="81"/>
      <c r="J25" s="81"/>
      <c r="K25" s="81"/>
      <c r="L25" s="81"/>
      <c r="M25" s="81"/>
      <c r="N25" s="81"/>
      <c r="O25" s="81"/>
      <c r="P25" s="81"/>
      <c r="Q25" s="81"/>
      <c r="R25" s="81"/>
      <c r="S25" s="81"/>
      <c r="T25" s="81"/>
      <c r="U25" s="81"/>
      <c r="V25" s="81"/>
      <c r="W25" s="81"/>
      <c r="X25" s="81"/>
      <c r="Y25" s="81"/>
      <c r="Z25" s="81"/>
      <c r="AA25" s="81"/>
      <c r="AB25" s="81"/>
      <c r="AC25" s="81"/>
      <c r="AD25" s="81"/>
    </row>
    <row r="26" spans="1:30">
      <c r="A26" s="81"/>
      <c r="B26" s="80"/>
      <c r="C26" s="81"/>
      <c r="D26" s="81"/>
      <c r="E26" s="82"/>
      <c r="F26" s="84"/>
      <c r="G26" s="84"/>
      <c r="H26" s="84"/>
      <c r="I26" s="81"/>
      <c r="J26" s="81"/>
      <c r="K26" s="81"/>
      <c r="L26" s="81"/>
      <c r="M26" s="81"/>
      <c r="N26" s="81"/>
      <c r="O26" s="81"/>
      <c r="P26" s="81"/>
      <c r="Q26" s="81"/>
      <c r="R26" s="81"/>
      <c r="S26" s="81"/>
      <c r="T26" s="81"/>
      <c r="U26" s="81"/>
      <c r="V26" s="81"/>
      <c r="W26" s="81"/>
      <c r="X26" s="81"/>
      <c r="Y26" s="81"/>
      <c r="Z26" s="81"/>
      <c r="AA26" s="81"/>
      <c r="AB26" s="81"/>
      <c r="AC26" s="81"/>
      <c r="AD26" s="81"/>
    </row>
    <row r="27" spans="1:30">
      <c r="A27" s="81"/>
      <c r="B27" s="80"/>
      <c r="C27" s="81"/>
      <c r="D27" s="81"/>
      <c r="E27" s="82"/>
      <c r="F27" s="84"/>
      <c r="G27" s="84"/>
      <c r="H27" s="84"/>
      <c r="I27" s="81"/>
      <c r="J27" s="81"/>
      <c r="K27" s="81"/>
      <c r="L27" s="81"/>
      <c r="M27" s="81"/>
      <c r="N27" s="81"/>
      <c r="O27" s="81"/>
      <c r="P27" s="81"/>
      <c r="Q27" s="81"/>
      <c r="R27" s="81"/>
      <c r="S27" s="81"/>
      <c r="T27" s="81"/>
      <c r="U27" s="81"/>
      <c r="V27" s="81"/>
      <c r="W27" s="81"/>
      <c r="X27" s="81"/>
      <c r="Y27" s="81"/>
      <c r="Z27" s="81"/>
      <c r="AA27" s="81"/>
      <c r="AB27" s="81"/>
      <c r="AC27" s="81"/>
      <c r="AD27" s="81"/>
    </row>
    <row r="28" spans="1:30">
      <c r="A28" s="79" t="s">
        <v>1460</v>
      </c>
      <c r="B28" s="80"/>
      <c r="C28" s="81"/>
      <c r="D28" s="81"/>
      <c r="E28" s="82"/>
      <c r="F28" s="81"/>
      <c r="G28" s="83" t="s">
        <v>1461</v>
      </c>
      <c r="H28" s="84"/>
      <c r="I28" s="81"/>
      <c r="J28" s="81"/>
      <c r="K28" s="81"/>
      <c r="L28" s="81"/>
      <c r="M28" s="81"/>
      <c r="N28" s="81"/>
      <c r="O28" s="81"/>
      <c r="P28" s="81"/>
      <c r="Q28" s="81"/>
      <c r="R28" s="81"/>
      <c r="S28" s="81"/>
      <c r="T28" s="81"/>
      <c r="U28" s="81"/>
      <c r="V28" s="81"/>
      <c r="W28" s="81"/>
      <c r="X28" s="81"/>
      <c r="Y28" s="81"/>
      <c r="Z28" s="81"/>
      <c r="AA28" s="81"/>
      <c r="AB28" s="81"/>
      <c r="AC28" s="81"/>
      <c r="AD28" s="81"/>
    </row>
    <row r="29" spans="1:30">
      <c r="A29" s="81"/>
      <c r="B29" s="80"/>
      <c r="C29" s="81"/>
      <c r="D29" s="81"/>
      <c r="E29" s="82"/>
      <c r="F29" s="84"/>
      <c r="G29" s="84"/>
      <c r="H29" s="84"/>
      <c r="I29" s="81"/>
      <c r="J29" s="81"/>
      <c r="K29" s="81"/>
      <c r="L29" s="81"/>
      <c r="M29" s="81"/>
      <c r="N29" s="81"/>
      <c r="O29" s="81"/>
      <c r="P29" s="81"/>
      <c r="Q29" s="81"/>
      <c r="R29" s="81"/>
      <c r="S29" s="81"/>
      <c r="T29" s="81"/>
      <c r="U29" s="81"/>
      <c r="V29" s="81"/>
      <c r="W29" s="81"/>
      <c r="X29" s="81"/>
      <c r="Y29" s="81"/>
      <c r="Z29" s="81"/>
      <c r="AA29" s="81"/>
      <c r="AB29" s="81"/>
      <c r="AC29" s="81"/>
      <c r="AD29" s="81"/>
    </row>
    <row r="30" spans="1:30">
      <c r="A30" s="81"/>
      <c r="B30" s="80"/>
      <c r="C30" s="81"/>
      <c r="D30" s="81"/>
      <c r="E30" s="82"/>
      <c r="F30" s="84"/>
      <c r="G30" s="84"/>
      <c r="H30" s="84"/>
      <c r="I30" s="81"/>
      <c r="J30" s="81"/>
      <c r="K30" s="81"/>
      <c r="L30" s="81"/>
      <c r="M30" s="81"/>
      <c r="N30" s="81"/>
      <c r="O30" s="81"/>
      <c r="P30" s="81"/>
      <c r="Q30" s="81"/>
      <c r="R30" s="81"/>
      <c r="S30" s="81"/>
      <c r="T30" s="81"/>
      <c r="U30" s="81"/>
      <c r="V30" s="81"/>
      <c r="W30" s="81"/>
      <c r="X30" s="81"/>
      <c r="Y30" s="81"/>
      <c r="Z30" s="81"/>
      <c r="AA30" s="81"/>
      <c r="AB30" s="81"/>
      <c r="AC30" s="81"/>
      <c r="AD30" s="81"/>
    </row>
    <row r="31" spans="1:30">
      <c r="A31" s="81"/>
      <c r="B31" s="80"/>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c r="AC31" s="81"/>
      <c r="AD31" s="81"/>
    </row>
    <row r="32" spans="1:30">
      <c r="A32" s="81"/>
      <c r="B32" s="80"/>
      <c r="C32" s="81"/>
      <c r="D32" s="81"/>
      <c r="E32" s="82"/>
      <c r="F32" s="84"/>
      <c r="G32" s="84"/>
      <c r="H32" s="84"/>
      <c r="I32" s="81"/>
      <c r="J32" s="81"/>
      <c r="K32" s="81"/>
      <c r="L32" s="81"/>
      <c r="M32" s="81"/>
      <c r="N32" s="81"/>
      <c r="O32" s="81"/>
      <c r="P32" s="81"/>
      <c r="Q32" s="81"/>
      <c r="R32" s="81"/>
      <c r="S32" s="81"/>
      <c r="T32" s="81"/>
      <c r="U32" s="81"/>
      <c r="V32" s="81"/>
      <c r="W32" s="81"/>
      <c r="X32" s="81"/>
      <c r="Y32" s="81"/>
      <c r="Z32" s="81"/>
      <c r="AA32" s="81"/>
      <c r="AB32" s="81"/>
      <c r="AC32" s="81"/>
      <c r="AD32" s="81"/>
    </row>
    <row r="33" spans="1:30">
      <c r="A33" s="81"/>
      <c r="B33" s="80"/>
      <c r="C33" s="81"/>
      <c r="D33" s="81"/>
      <c r="E33" s="82"/>
      <c r="F33" s="84"/>
      <c r="G33" s="84"/>
      <c r="H33" s="84"/>
      <c r="I33" s="81"/>
      <c r="J33" s="81"/>
      <c r="K33" s="81"/>
      <c r="L33" s="81"/>
      <c r="M33" s="81"/>
      <c r="N33" s="81"/>
      <c r="O33" s="81"/>
      <c r="P33" s="81"/>
      <c r="Q33" s="81"/>
      <c r="R33" s="81"/>
      <c r="S33" s="81"/>
      <c r="T33" s="81"/>
      <c r="U33" s="81"/>
      <c r="V33" s="81"/>
      <c r="W33" s="81"/>
      <c r="X33" s="81"/>
      <c r="Y33" s="81"/>
      <c r="Z33" s="81"/>
      <c r="AA33" s="81"/>
      <c r="AB33" s="81"/>
      <c r="AC33" s="81"/>
      <c r="AD33" s="81"/>
    </row>
    <row r="34" spans="1:30">
      <c r="A34" s="81"/>
      <c r="B34" s="80"/>
      <c r="C34" s="81"/>
      <c r="D34" s="81"/>
      <c r="E34" s="82"/>
      <c r="F34" s="84"/>
      <c r="G34" s="84"/>
      <c r="H34" s="84"/>
      <c r="I34" s="81"/>
      <c r="J34" s="81"/>
      <c r="K34" s="81"/>
      <c r="L34" s="81"/>
      <c r="M34" s="81"/>
      <c r="N34" s="81"/>
      <c r="O34" s="81"/>
      <c r="P34" s="81"/>
      <c r="Q34" s="81"/>
      <c r="R34" s="81"/>
      <c r="S34" s="81"/>
      <c r="T34" s="81"/>
      <c r="U34" s="81"/>
      <c r="V34" s="81"/>
      <c r="W34" s="81"/>
      <c r="X34" s="81"/>
      <c r="Y34" s="81"/>
      <c r="Z34" s="81"/>
      <c r="AA34" s="81"/>
      <c r="AB34" s="81"/>
      <c r="AC34" s="81"/>
      <c r="AD34" s="81"/>
    </row>
    <row r="35" spans="1:30">
      <c r="A35" s="81"/>
      <c r="B35" s="80"/>
      <c r="C35" s="81"/>
      <c r="D35" s="81"/>
      <c r="E35" s="82"/>
      <c r="F35" s="84"/>
      <c r="G35" s="84"/>
      <c r="H35" s="84"/>
      <c r="I35" s="81"/>
      <c r="J35" s="81"/>
      <c r="K35" s="81"/>
      <c r="L35" s="81"/>
      <c r="M35" s="81"/>
      <c r="N35" s="81"/>
      <c r="O35" s="81"/>
      <c r="P35" s="81"/>
      <c r="Q35" s="81"/>
      <c r="R35" s="81"/>
      <c r="S35" s="81"/>
      <c r="T35" s="81"/>
      <c r="U35" s="81"/>
      <c r="V35" s="81"/>
      <c r="W35" s="81"/>
      <c r="X35" s="81"/>
      <c r="Y35" s="81"/>
      <c r="Z35" s="81"/>
      <c r="AA35" s="81"/>
      <c r="AB35" s="81"/>
      <c r="AC35" s="81"/>
      <c r="AD35" s="81"/>
    </row>
    <row r="36" spans="1:30">
      <c r="A36" s="81"/>
      <c r="B36" s="80"/>
      <c r="C36" s="81"/>
      <c r="D36" s="81"/>
      <c r="E36" s="82"/>
      <c r="F36" s="84"/>
      <c r="G36" s="84"/>
      <c r="H36" s="84"/>
      <c r="I36" s="81"/>
      <c r="J36" s="81"/>
      <c r="K36" s="81"/>
      <c r="L36" s="81"/>
      <c r="M36" s="81"/>
      <c r="N36" s="81"/>
      <c r="O36" s="81"/>
      <c r="P36" s="81"/>
      <c r="Q36" s="81"/>
      <c r="R36" s="81"/>
      <c r="S36" s="81"/>
      <c r="T36" s="81"/>
      <c r="U36" s="81"/>
      <c r="V36" s="81"/>
      <c r="W36" s="81"/>
      <c r="X36" s="81"/>
      <c r="Y36" s="81"/>
      <c r="Z36" s="81"/>
      <c r="AA36" s="81"/>
      <c r="AB36" s="81"/>
      <c r="AC36" s="81"/>
      <c r="AD36" s="81"/>
    </row>
    <row r="37" spans="1:30">
      <c r="A37" s="81"/>
      <c r="B37" s="80"/>
      <c r="C37" s="81"/>
      <c r="D37" s="81"/>
      <c r="E37" s="81"/>
      <c r="F37" s="81"/>
      <c r="G37" s="81"/>
      <c r="H37" s="81"/>
      <c r="I37" s="81"/>
      <c r="J37" s="81"/>
      <c r="K37" s="81"/>
      <c r="L37" s="81"/>
      <c r="M37" s="81"/>
      <c r="N37" s="81"/>
      <c r="O37" s="81"/>
      <c r="P37" s="81"/>
      <c r="Q37" s="81"/>
      <c r="R37" s="81"/>
      <c r="S37" s="81"/>
      <c r="T37" s="81"/>
      <c r="U37" s="81"/>
      <c r="V37" s="81"/>
      <c r="W37" s="81"/>
      <c r="X37" s="81"/>
      <c r="Y37" s="81"/>
      <c r="Z37" s="81"/>
      <c r="AA37" s="81"/>
      <c r="AB37" s="81"/>
      <c r="AC37" s="81"/>
      <c r="AD37" s="81"/>
    </row>
    <row r="38" spans="1:30">
      <c r="A38" s="81"/>
      <c r="B38" s="80"/>
      <c r="C38" s="81"/>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row>
    <row r="39" spans="1:30">
      <c r="A39" s="81"/>
      <c r="B39" s="80"/>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row>
    <row r="40" spans="1:30">
      <c r="A40" s="81"/>
      <c r="B40" s="80"/>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row>
    <row r="41" spans="1:30">
      <c r="A41" s="81"/>
      <c r="B41" s="80"/>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row>
    <row r="42" spans="1:30">
      <c r="A42" s="79"/>
      <c r="B42" s="80"/>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row>
    <row r="43" spans="1:30">
      <c r="A43" s="81"/>
      <c r="B43" s="80"/>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row>
    <row r="44" spans="1:30">
      <c r="A44" s="81"/>
      <c r="B44" s="80"/>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row>
    <row r="45" spans="1:30">
      <c r="A45" s="81"/>
      <c r="B45" s="80"/>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row>
    <row r="46" spans="1:30">
      <c r="A46" s="81"/>
      <c r="B46" s="80"/>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row>
    <row r="47" spans="1:30">
      <c r="A47" s="81"/>
      <c r="B47" s="80"/>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row>
    <row r="48" spans="1:30">
      <c r="A48" s="81"/>
      <c r="B48" s="8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row>
    <row r="49" spans="1:30">
      <c r="A49" s="81"/>
      <c r="B49" s="80"/>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row>
    <row r="50" spans="1:30">
      <c r="A50" s="81"/>
      <c r="B50" s="80"/>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row>
    <row r="51" spans="1:30">
      <c r="A51" s="81"/>
      <c r="B51" s="80"/>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row>
    <row r="52" spans="1:30">
      <c r="A52" s="81"/>
      <c r="B52" s="80"/>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row>
    <row r="53" spans="1:30">
      <c r="A53" s="81"/>
      <c r="B53" s="80"/>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row>
    <row r="54" spans="1:30">
      <c r="A54" s="81"/>
      <c r="B54" s="8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row>
    <row r="55" spans="1:30">
      <c r="A55" s="81"/>
      <c r="B55" s="80"/>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row>
    <row r="56" spans="1:30">
      <c r="A56" s="81"/>
      <c r="B56" s="80"/>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row>
    <row r="57" spans="1:30">
      <c r="A57" s="81"/>
      <c r="B57" s="80"/>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row>
    <row r="58" spans="1:30">
      <c r="A58" s="81"/>
      <c r="B58" s="80"/>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row>
    <row r="59" spans="1:30">
      <c r="A59" s="81"/>
      <c r="B59" s="80"/>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row>
    <row r="60" spans="1:30">
      <c r="A60" s="81"/>
      <c r="B60" s="80"/>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row>
    <row r="61" spans="1:30">
      <c r="A61" s="81"/>
      <c r="B61" s="80"/>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row>
    <row r="62" spans="1:30">
      <c r="A62" s="81"/>
      <c r="B62" s="80"/>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row>
  </sheetData>
  <mergeCells count="2">
    <mergeCell ref="N11:P11"/>
    <mergeCell ref="N12:P12"/>
  </mergeCells>
  <conditionalFormatting sqref="P4:P7">
    <cfRule type="cellIs" dxfId="6" priority="1" stopIfTrue="1" operator="lessThanOrEqual">
      <formula>5</formula>
    </cfRule>
  </conditionalFormatting>
  <pageMargins left="0.75" right="0.75" top="1" bottom="1" header="0.509027777777778" footer="0.509027777777778"/>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X39"/>
  <sheetViews>
    <sheetView workbookViewId="0">
      <selection activeCell="I7" sqref="I7"/>
    </sheetView>
  </sheetViews>
  <sheetFormatPr defaultColWidth="9" defaultRowHeight="12"/>
  <cols>
    <col min="1" max="1" width="13.75" style="2" customWidth="1"/>
    <col min="2" max="2" width="13.625" style="3" customWidth="1"/>
    <col min="3" max="3" width="12.75" style="2" customWidth="1"/>
    <col min="4" max="4" width="12" style="2" customWidth="1"/>
    <col min="5" max="5" width="7.125" style="2" customWidth="1"/>
    <col min="6" max="6" width="6.375" style="2" customWidth="1"/>
    <col min="7" max="7" width="6.625" style="2" customWidth="1"/>
    <col min="8" max="11" width="7.625" style="2" customWidth="1"/>
    <col min="12" max="12" width="9.25" style="2" customWidth="1"/>
    <col min="13" max="13" width="9" style="2"/>
    <col min="14" max="14" width="5.625" style="2" customWidth="1"/>
    <col min="15" max="15" width="1.25" style="2" customWidth="1"/>
    <col min="16" max="16" width="5.625" style="2" customWidth="1"/>
    <col min="17" max="17" width="9.125" style="3" hidden="1" customWidth="1"/>
    <col min="18" max="18" width="7.5" style="3" hidden="1" customWidth="1"/>
    <col min="19" max="19" width="9.25" style="3" hidden="1" customWidth="1"/>
    <col min="20" max="22" width="5.625" style="2" customWidth="1"/>
    <col min="23" max="16384" width="9" style="2"/>
  </cols>
  <sheetData>
    <row r="1" ht="13.5" customHeight="1" spans="1:24">
      <c r="A1" s="4" t="s">
        <v>1462</v>
      </c>
      <c r="C1" s="4" t="s">
        <v>1463</v>
      </c>
      <c r="H1" s="4" t="s">
        <v>1435</v>
      </c>
      <c r="J1" s="24"/>
      <c r="L1" s="4"/>
      <c r="M1" s="3"/>
      <c r="Q1" s="66"/>
      <c r="U1" s="4"/>
      <c r="X1" s="24"/>
    </row>
    <row r="2" customHeight="1" spans="1:24">
      <c r="A2" s="5" t="s">
        <v>1433</v>
      </c>
      <c r="B2" s="6"/>
      <c r="C2" s="5" t="s">
        <v>1434</v>
      </c>
      <c r="D2" s="7"/>
      <c r="F2" s="7"/>
      <c r="G2" s="7"/>
      <c r="H2" s="5" t="s">
        <v>1435</v>
      </c>
      <c r="I2" s="7"/>
      <c r="J2" s="7"/>
      <c r="K2" s="25" t="s">
        <v>1436</v>
      </c>
      <c r="L2" s="5"/>
      <c r="M2" s="6"/>
      <c r="O2" s="7"/>
      <c r="Q2" s="67"/>
      <c r="R2" s="6"/>
      <c r="T2" s="7"/>
      <c r="U2" s="5"/>
      <c r="X2" s="25"/>
    </row>
    <row r="3" ht="11.25" customHeight="1" spans="1:19">
      <c r="A3" s="50" t="s">
        <v>1051</v>
      </c>
      <c r="B3" s="50" t="s">
        <v>1464</v>
      </c>
      <c r="C3" s="50" t="s">
        <v>1465</v>
      </c>
      <c r="D3" s="50" t="s">
        <v>675</v>
      </c>
      <c r="E3" s="50" t="s">
        <v>676</v>
      </c>
      <c r="F3" s="50" t="s">
        <v>1466</v>
      </c>
      <c r="G3" s="50" t="s">
        <v>1467</v>
      </c>
      <c r="H3" s="50" t="s">
        <v>1468</v>
      </c>
      <c r="I3" s="50" t="s">
        <v>1469</v>
      </c>
      <c r="J3" s="50" t="s">
        <v>1470</v>
      </c>
      <c r="K3" s="50" t="s">
        <v>1471</v>
      </c>
      <c r="L3" s="50" t="s">
        <v>1472</v>
      </c>
      <c r="M3" s="62"/>
      <c r="N3" s="63"/>
      <c r="Q3" s="50" t="s">
        <v>675</v>
      </c>
      <c r="R3" s="50" t="s">
        <v>676</v>
      </c>
      <c r="S3" s="50" t="s">
        <v>1470</v>
      </c>
    </row>
    <row r="4" ht="11.25" customHeight="1" spans="1:19">
      <c r="A4" s="60" t="str">
        <f>IF([2]总生产成本分析表!A5="","",[2]总生产成本分析表!A5)</f>
        <v>直接材料</v>
      </c>
      <c r="B4" s="18"/>
      <c r="C4" s="20">
        <f>[2]总生产成本分析表!N5</f>
        <v>0</v>
      </c>
      <c r="D4" s="20">
        <f t="shared" ref="D4:D8" si="0">C4-B4</f>
        <v>0</v>
      </c>
      <c r="E4" s="21">
        <f t="shared" ref="E4:E8" si="1">IF(B4=0,0,D4/B4)</f>
        <v>0</v>
      </c>
      <c r="F4" s="61" t="str">
        <f>IF(D4=0,"",RANK(ABS(D4),$Q$4:$Q$7))</f>
        <v/>
      </c>
      <c r="G4" s="61" t="str">
        <f>IF(E4=0,"",RANK(ABS(E4),$R$4:$R$7))</f>
        <v/>
      </c>
      <c r="H4" s="21">
        <f t="shared" ref="H4:H8" si="2">IF($B$8=0,0,B4/$B$8)</f>
        <v>0</v>
      </c>
      <c r="I4" s="21">
        <f t="shared" ref="I4:I8" si="3">IF($C$8=0,0,C4/$C$8)</f>
        <v>0</v>
      </c>
      <c r="J4" s="21">
        <f t="shared" ref="J4:J7" si="4">I4-H4</f>
        <v>0</v>
      </c>
      <c r="K4" s="61" t="str">
        <f>IF(J4=0,"",RANK(ABS(J4),$S$4:$S$7))</f>
        <v/>
      </c>
      <c r="L4" s="17" t="str">
        <f t="shared" ref="L4:L7" si="5">IF(OR(F4&lt;=5,G4&lt;=5,K4&lt;=5),"关注","")</f>
        <v/>
      </c>
      <c r="M4" s="62"/>
      <c r="N4" s="63"/>
      <c r="Q4" s="68">
        <f t="shared" ref="Q4:Q7" si="6">ABS(D4)</f>
        <v>0</v>
      </c>
      <c r="R4" s="21">
        <f t="shared" ref="R4:R7" si="7">ABS(E4)</f>
        <v>0</v>
      </c>
      <c r="S4" s="21">
        <f t="shared" ref="S4:S7" si="8">ABS(J4)</f>
        <v>0</v>
      </c>
    </row>
    <row r="5" ht="11.25" customHeight="1" spans="1:19">
      <c r="A5" s="60" t="str">
        <f>IF([2]总生产成本分析表!A6="","",[2]总生产成本分析表!A6)</f>
        <v>直接人工</v>
      </c>
      <c r="B5" s="18"/>
      <c r="C5" s="20">
        <f>[2]总生产成本分析表!N6</f>
        <v>0</v>
      </c>
      <c r="D5" s="20">
        <f t="shared" si="0"/>
        <v>0</v>
      </c>
      <c r="E5" s="21">
        <f t="shared" si="1"/>
        <v>0</v>
      </c>
      <c r="F5" s="61" t="str">
        <f>IF(D5=0,"",RANK(ABS(D5),$Q$4:$Q$7))</f>
        <v/>
      </c>
      <c r="G5" s="61" t="str">
        <f>IF(E5=0,"",RANK(ABS(E5),$R$4:$R$7))</f>
        <v/>
      </c>
      <c r="H5" s="21">
        <f t="shared" si="2"/>
        <v>0</v>
      </c>
      <c r="I5" s="21">
        <f t="shared" si="3"/>
        <v>0</v>
      </c>
      <c r="J5" s="21">
        <f t="shared" si="4"/>
        <v>0</v>
      </c>
      <c r="K5" s="61" t="str">
        <f>IF(J5=0,"",RANK(ABS(J5),$S$4:$S$7))</f>
        <v/>
      </c>
      <c r="L5" s="17" t="str">
        <f t="shared" si="5"/>
        <v/>
      </c>
      <c r="Q5" s="68">
        <f t="shared" si="6"/>
        <v>0</v>
      </c>
      <c r="R5" s="21">
        <f t="shared" si="7"/>
        <v>0</v>
      </c>
      <c r="S5" s="21">
        <f t="shared" si="8"/>
        <v>0</v>
      </c>
    </row>
    <row r="6" ht="11.25" customHeight="1" spans="1:19">
      <c r="A6" s="60" t="str">
        <f>IF([2]总生产成本分析表!A7="","",[2]总生产成本分析表!A7)</f>
        <v>制造费用</v>
      </c>
      <c r="B6" s="18"/>
      <c r="C6" s="20">
        <f>[2]总生产成本分析表!N7</f>
        <v>0</v>
      </c>
      <c r="D6" s="20">
        <f t="shared" si="0"/>
        <v>0</v>
      </c>
      <c r="E6" s="21">
        <f t="shared" si="1"/>
        <v>0</v>
      </c>
      <c r="F6" s="61" t="str">
        <f>IF(D6=0,"",RANK(ABS(D6),$Q$4:$Q$7))</f>
        <v/>
      </c>
      <c r="G6" s="61" t="str">
        <f>IF(E6=0,"",RANK(ABS(E6),$R$4:$R$7))</f>
        <v/>
      </c>
      <c r="H6" s="21">
        <f t="shared" si="2"/>
        <v>0</v>
      </c>
      <c r="I6" s="21">
        <f t="shared" si="3"/>
        <v>0</v>
      </c>
      <c r="J6" s="21">
        <f t="shared" si="4"/>
        <v>0</v>
      </c>
      <c r="K6" s="61" t="str">
        <f>IF(J6=0,"",RANK(ABS(J6),$S$4:$S$7))</f>
        <v/>
      </c>
      <c r="L6" s="17" t="str">
        <f t="shared" si="5"/>
        <v/>
      </c>
      <c r="Q6" s="68">
        <f t="shared" si="6"/>
        <v>0</v>
      </c>
      <c r="R6" s="21">
        <f t="shared" si="7"/>
        <v>0</v>
      </c>
      <c r="S6" s="21">
        <f t="shared" si="8"/>
        <v>0</v>
      </c>
    </row>
    <row r="7" ht="11.25" customHeight="1" spans="1:19">
      <c r="A7" s="60" t="str">
        <f>IF([2]总生产成本分析表!A8="","",[2]总生产成本分析表!A8)</f>
        <v>其他</v>
      </c>
      <c r="B7" s="18"/>
      <c r="C7" s="20">
        <f>[2]总生产成本分析表!N8</f>
        <v>0</v>
      </c>
      <c r="D7" s="20">
        <f t="shared" si="0"/>
        <v>0</v>
      </c>
      <c r="E7" s="21">
        <f t="shared" si="1"/>
        <v>0</v>
      </c>
      <c r="F7" s="61" t="str">
        <f>IF(D7=0,"",RANK(ABS(D7),$Q$4:$Q$7))</f>
        <v/>
      </c>
      <c r="G7" s="61" t="str">
        <f>IF(E7=0,"",RANK(ABS(E7),$R$4:$R$7))</f>
        <v/>
      </c>
      <c r="H7" s="21">
        <f t="shared" si="2"/>
        <v>0</v>
      </c>
      <c r="I7" s="21">
        <f t="shared" si="3"/>
        <v>0</v>
      </c>
      <c r="J7" s="21">
        <f t="shared" si="4"/>
        <v>0</v>
      </c>
      <c r="K7" s="61" t="str">
        <f>IF(J7=0,"",RANK(ABS(J7),$S$4:$S$7))</f>
        <v/>
      </c>
      <c r="L7" s="17" t="str">
        <f t="shared" si="5"/>
        <v/>
      </c>
      <c r="Q7" s="68">
        <f t="shared" si="6"/>
        <v>0</v>
      </c>
      <c r="R7" s="21">
        <f t="shared" si="7"/>
        <v>0</v>
      </c>
      <c r="S7" s="21">
        <f t="shared" si="8"/>
        <v>0</v>
      </c>
    </row>
    <row r="8" ht="11.25" customHeight="1" spans="1:12">
      <c r="A8" s="60" t="str">
        <f>IF([2]总生产成本分析表!A9="","",[2]总生产成本分析表!A9)</f>
        <v>合计</v>
      </c>
      <c r="B8" s="19">
        <f>SUM(B4:B7)</f>
        <v>0</v>
      </c>
      <c r="C8" s="19">
        <f>SUM(C4:C7)</f>
        <v>0</v>
      </c>
      <c r="D8" s="19">
        <f t="shared" si="0"/>
        <v>0</v>
      </c>
      <c r="E8" s="45">
        <f t="shared" si="1"/>
        <v>0</v>
      </c>
      <c r="F8" s="19"/>
      <c r="G8" s="19"/>
      <c r="H8" s="45">
        <f t="shared" si="2"/>
        <v>0</v>
      </c>
      <c r="I8" s="45">
        <f t="shared" si="3"/>
        <v>0</v>
      </c>
      <c r="J8" s="19"/>
      <c r="K8" s="19"/>
      <c r="L8" s="65"/>
    </row>
    <row r="9" spans="1:8">
      <c r="A9" s="4" t="s">
        <v>1473</v>
      </c>
      <c r="E9" s="5"/>
      <c r="F9" s="4" t="s">
        <v>1474</v>
      </c>
      <c r="H9" s="7"/>
    </row>
    <row r="10" spans="5:8">
      <c r="E10" s="6"/>
      <c r="F10" s="7"/>
      <c r="G10" s="7"/>
      <c r="H10" s="7"/>
    </row>
    <row r="11" spans="5:8">
      <c r="E11" s="6"/>
      <c r="F11" s="7"/>
      <c r="G11" s="7"/>
      <c r="H11" s="7"/>
    </row>
    <row r="12" spans="5:8">
      <c r="E12" s="6"/>
      <c r="F12" s="7"/>
      <c r="G12" s="7"/>
      <c r="H12" s="7"/>
    </row>
    <row r="13" spans="5:8">
      <c r="E13" s="6"/>
      <c r="F13" s="7"/>
      <c r="G13" s="7"/>
      <c r="H13" s="7"/>
    </row>
    <row r="14" spans="5:8">
      <c r="E14" s="6"/>
      <c r="F14" s="7"/>
      <c r="G14" s="7"/>
      <c r="H14" s="7"/>
    </row>
    <row r="15" spans="5:8">
      <c r="E15" s="6"/>
      <c r="F15" s="7"/>
      <c r="G15" s="7"/>
      <c r="H15" s="7"/>
    </row>
    <row r="16" spans="5:8">
      <c r="E16" s="6"/>
      <c r="F16" s="7"/>
      <c r="G16" s="7"/>
      <c r="H16" s="7"/>
    </row>
    <row r="17" spans="5:8">
      <c r="E17" s="6"/>
      <c r="F17" s="7"/>
      <c r="G17" s="7"/>
      <c r="H17" s="7"/>
    </row>
    <row r="18" spans="5:8">
      <c r="E18" s="6"/>
      <c r="F18" s="7"/>
      <c r="G18" s="7"/>
      <c r="H18" s="7"/>
    </row>
    <row r="19" spans="5:8">
      <c r="E19" s="6"/>
      <c r="F19" s="7"/>
      <c r="G19" s="7"/>
      <c r="H19" s="7"/>
    </row>
    <row r="20" spans="1:8">
      <c r="A20" s="4"/>
      <c r="E20" s="5"/>
      <c r="H20" s="7"/>
    </row>
    <row r="22" spans="5:8">
      <c r="E22" s="6"/>
      <c r="F22" s="7"/>
      <c r="G22" s="7"/>
      <c r="H22" s="7"/>
    </row>
    <row r="23" spans="1:8">
      <c r="A23" s="4" t="s">
        <v>1475</v>
      </c>
      <c r="E23" s="6"/>
      <c r="F23" s="7"/>
      <c r="G23" s="4" t="s">
        <v>1476</v>
      </c>
      <c r="H23" s="7"/>
    </row>
    <row r="25" spans="5:8">
      <c r="E25" s="6"/>
      <c r="F25" s="7"/>
      <c r="G25" s="7"/>
      <c r="H25" s="7"/>
    </row>
    <row r="26" spans="5:8">
      <c r="E26" s="6"/>
      <c r="F26" s="7"/>
      <c r="G26" s="7"/>
      <c r="H26" s="7"/>
    </row>
    <row r="27" spans="5:8">
      <c r="E27" s="6"/>
      <c r="F27" s="7"/>
      <c r="G27" s="7"/>
      <c r="H27" s="7"/>
    </row>
    <row r="28" spans="5:8">
      <c r="E28" s="6"/>
      <c r="F28" s="7"/>
      <c r="G28" s="7"/>
      <c r="H28" s="7"/>
    </row>
    <row r="29" spans="5:8">
      <c r="E29" s="6"/>
      <c r="F29" s="7"/>
      <c r="G29" s="7"/>
      <c r="H29" s="7"/>
    </row>
    <row r="37" spans="1:9">
      <c r="A37" s="62" t="s">
        <v>1477</v>
      </c>
      <c r="B37" s="63">
        <f>[2]总生产成本分析表!N10/12</f>
        <v>0</v>
      </c>
      <c r="H37" s="62" t="s">
        <v>1477</v>
      </c>
      <c r="I37" s="63">
        <f>SUM([2]总生产成本分析表!B11:M11)/12</f>
        <v>0</v>
      </c>
    </row>
    <row r="38" spans="1:9">
      <c r="A38" s="62" t="s">
        <v>695</v>
      </c>
      <c r="B38" s="63">
        <f>SQRT(DEVSQ([2]总生产成本分析表!B10:M10)/12)</f>
        <v>0</v>
      </c>
      <c r="H38" s="62" t="s">
        <v>695</v>
      </c>
      <c r="I38" s="63">
        <f>SQRT(DEVSQ([2]总生产成本分析表!B11:M11)/12)</f>
        <v>0</v>
      </c>
    </row>
    <row r="39" spans="1:10">
      <c r="A39" s="62" t="s">
        <v>1478</v>
      </c>
      <c r="B39" s="64">
        <f>IF(B38=0,0,CORREL([2]总生产成本分析表!B9:M9,[2]总生产成本分析表!B10:M10))</f>
        <v>0</v>
      </c>
      <c r="C39" s="6" t="str">
        <f>IF(B39&lt;0.5,"异常","")</f>
        <v>异常</v>
      </c>
      <c r="H39" s="62" t="s">
        <v>1478</v>
      </c>
      <c r="I39" s="64">
        <f>IF(I38=0,0,CORREL([2]总生产成本分析表!B9:M9,[2]总生产成本分析表!B11:M11))</f>
        <v>0</v>
      </c>
      <c r="J39" s="6" t="str">
        <f>IF(I39&lt;0.5,"异常","")</f>
        <v>异常</v>
      </c>
    </row>
  </sheetData>
  <conditionalFormatting sqref="L4:L7">
    <cfRule type="cellIs" dxfId="6" priority="1" stopIfTrue="1" operator="equal">
      <formula>"关注"</formula>
    </cfRule>
  </conditionalFormatting>
  <conditionalFormatting sqref="C39 J39">
    <cfRule type="cellIs" dxfId="6" priority="2" stopIfTrue="1" operator="equal">
      <formula>"异常"</formula>
    </cfRule>
  </conditionalFormatting>
  <pageMargins left="0.75" right="0.75" top="1" bottom="1" header="0.509027777777778" footer="0.509027777777778"/>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AE73"/>
  <sheetViews>
    <sheetView topLeftCell="A57" workbookViewId="0">
      <selection activeCell="K7" sqref="K7"/>
    </sheetView>
  </sheetViews>
  <sheetFormatPr defaultColWidth="9" defaultRowHeight="12"/>
  <cols>
    <col min="1" max="1" width="8.375" style="2" customWidth="1"/>
    <col min="2" max="2" width="8.625" style="3" customWidth="1"/>
    <col min="3" max="9" width="8.625" style="2" customWidth="1"/>
    <col min="10" max="10" width="6.625" style="2" customWidth="1"/>
    <col min="11" max="11" width="8.625" style="2" customWidth="1"/>
    <col min="12" max="12" width="4.75" style="2" customWidth="1"/>
    <col min="13" max="13" width="5" style="2" customWidth="1"/>
    <col min="14" max="14" width="4.75" style="2" customWidth="1"/>
    <col min="15" max="15" width="4.125" style="2" customWidth="1"/>
    <col min="16" max="16" width="5" style="2" customWidth="1"/>
    <col min="17" max="17" width="3.25" style="2" customWidth="1"/>
    <col min="18" max="18" width="7" style="2" customWidth="1"/>
    <col min="19" max="19" width="5.375" style="2" customWidth="1"/>
    <col min="20" max="29" width="5.625" style="2" customWidth="1"/>
    <col min="30" max="16384" width="9" style="2"/>
  </cols>
  <sheetData>
    <row r="1" ht="13.5" customHeight="1" spans="1:31">
      <c r="A1" s="4" t="s">
        <v>1462</v>
      </c>
      <c r="E1" s="4" t="s">
        <v>1463</v>
      </c>
      <c r="I1" s="4" t="s">
        <v>1435</v>
      </c>
      <c r="P1" s="24"/>
      <c r="Q1" s="24"/>
      <c r="R1" s="4"/>
      <c r="S1" s="3"/>
      <c r="W1" s="4"/>
      <c r="AB1" s="4"/>
      <c r="AE1" s="24"/>
    </row>
    <row r="2" customHeight="1" spans="1:31">
      <c r="A2" s="5" t="s">
        <v>1433</v>
      </c>
      <c r="B2" s="6"/>
      <c r="D2" s="7"/>
      <c r="E2" s="5" t="s">
        <v>1434</v>
      </c>
      <c r="F2" s="7"/>
      <c r="G2" s="7"/>
      <c r="H2" s="7"/>
      <c r="I2" s="5" t="s">
        <v>1435</v>
      </c>
      <c r="J2" s="7"/>
      <c r="K2" s="7"/>
      <c r="L2" s="7"/>
      <c r="Q2" s="25" t="s">
        <v>1436</v>
      </c>
      <c r="R2" s="5"/>
      <c r="S2" s="6"/>
      <c r="U2" s="7"/>
      <c r="W2" s="5"/>
      <c r="X2" s="7"/>
      <c r="Z2" s="7"/>
      <c r="AA2" s="7"/>
      <c r="AB2" s="5"/>
      <c r="AE2" s="25"/>
    </row>
    <row r="3" s="46" customFormat="1" ht="47.25" customHeight="1" spans="1:19">
      <c r="A3" s="47" t="s">
        <v>1051</v>
      </c>
      <c r="B3" s="47" t="s">
        <v>1451</v>
      </c>
      <c r="C3" s="47" t="s">
        <v>1452</v>
      </c>
      <c r="D3" s="47" t="s">
        <v>1453</v>
      </c>
      <c r="E3" s="47" t="s">
        <v>1454</v>
      </c>
      <c r="F3" s="47" t="s">
        <v>554</v>
      </c>
      <c r="G3" s="47" t="s">
        <v>689</v>
      </c>
      <c r="H3" s="47" t="s">
        <v>1455</v>
      </c>
      <c r="I3" s="47" t="s">
        <v>1479</v>
      </c>
      <c r="J3" s="47" t="s">
        <v>1480</v>
      </c>
      <c r="K3" s="47" t="s">
        <v>1456</v>
      </c>
      <c r="L3" s="52" t="s">
        <v>1481</v>
      </c>
      <c r="M3" s="47" t="s">
        <v>1482</v>
      </c>
      <c r="N3" s="47" t="s">
        <v>1483</v>
      </c>
      <c r="O3" s="47" t="s">
        <v>1484</v>
      </c>
      <c r="P3" s="47" t="s">
        <v>1469</v>
      </c>
      <c r="Q3" s="47" t="s">
        <v>1485</v>
      </c>
      <c r="R3" s="47" t="s">
        <v>1486</v>
      </c>
      <c r="S3" s="47" t="s">
        <v>1468</v>
      </c>
    </row>
    <row r="4" ht="11.25" customHeight="1" spans="1:19">
      <c r="A4" s="48" t="str">
        <f>A产品成本分析表!$A$4</f>
        <v>A</v>
      </c>
      <c r="B4" s="49">
        <f>A产品成本分析表!$C$4</f>
        <v>0</v>
      </c>
      <c r="C4" s="49">
        <f>A产品成本分析表!$O$5</f>
        <v>0</v>
      </c>
      <c r="D4" s="49">
        <f>A产品成本分析表!$O$6</f>
        <v>0</v>
      </c>
      <c r="E4" s="49">
        <f>A产品成本分析表!$O$7</f>
        <v>0</v>
      </c>
      <c r="F4" s="49">
        <f>A产品成本分析表!$O$8</f>
        <v>0</v>
      </c>
      <c r="G4" s="49">
        <f t="shared" ref="G4:G20" si="0">SUM(C4:F4)</f>
        <v>0</v>
      </c>
      <c r="H4" s="49">
        <f>A产品成本分析表!$O$10</f>
        <v>0</v>
      </c>
      <c r="I4" s="49">
        <f>A产品成本分析表!$O$11</f>
        <v>0</v>
      </c>
      <c r="J4" s="20" t="str">
        <f t="shared" ref="J4:J20" si="1">IF(I4=0,"",H4/I4)</f>
        <v/>
      </c>
      <c r="K4" s="20">
        <f t="shared" ref="K4:K21" si="2">B4+G4-H4</f>
        <v>0</v>
      </c>
      <c r="L4" s="21" t="str">
        <f t="shared" ref="L4:L20" si="3">IF(G4=0,"",C4/$G4)</f>
        <v/>
      </c>
      <c r="M4" s="21" t="str">
        <f>IF(G4=0,"",D4/$G$4)</f>
        <v/>
      </c>
      <c r="N4" s="21" t="str">
        <f>IF(H4=0,"",E4/$G4)</f>
        <v/>
      </c>
      <c r="O4" s="21" t="str">
        <f>IF(I4=0,"",F4/$G4)</f>
        <v/>
      </c>
      <c r="P4" s="53">
        <f t="shared" ref="P4:P21" si="4">IF($G$21=0,0,G4/$G$21)</f>
        <v>0</v>
      </c>
      <c r="Q4" s="17" t="str">
        <f t="shared" ref="Q4:Q20" si="5">IF(P4=0,"",RANK(P4,$P$4:$P$20))</f>
        <v/>
      </c>
      <c r="R4" s="57"/>
      <c r="S4" s="53">
        <f t="shared" ref="S4:S21" si="6">IF($R$21=0,0,R4/$R$21)</f>
        <v>0</v>
      </c>
    </row>
    <row r="5" ht="11.25" customHeight="1" spans="1:19">
      <c r="A5" s="48" t="str">
        <f>B产品成本分析表!$A$4</f>
        <v>B</v>
      </c>
      <c r="B5" s="49">
        <f>B产品成本分析表!$C$4</f>
        <v>0</v>
      </c>
      <c r="C5" s="49">
        <f>B产品成本分析表!$O$5</f>
        <v>0</v>
      </c>
      <c r="D5" s="49">
        <f>B产品成本分析表!$O$6</f>
        <v>0</v>
      </c>
      <c r="E5" s="49">
        <f>B产品成本分析表!$O$7</f>
        <v>0</v>
      </c>
      <c r="F5" s="49">
        <f>B产品成本分析表!$O$8</f>
        <v>0</v>
      </c>
      <c r="G5" s="49">
        <f t="shared" si="0"/>
        <v>0</v>
      </c>
      <c r="H5" s="49">
        <f>B产品成本分析表!$O$10</f>
        <v>0</v>
      </c>
      <c r="I5" s="49">
        <f>B产品成本分析表!$O$11</f>
        <v>0</v>
      </c>
      <c r="J5" s="20" t="str">
        <f t="shared" si="1"/>
        <v/>
      </c>
      <c r="K5" s="20">
        <f t="shared" si="2"/>
        <v>0</v>
      </c>
      <c r="L5" s="21" t="str">
        <f t="shared" si="3"/>
        <v/>
      </c>
      <c r="M5" s="21" t="str">
        <f t="shared" ref="M5:O5" si="7">IF(G5=0,"",D5/$G5)</f>
        <v/>
      </c>
      <c r="N5" s="21" t="str">
        <f t="shared" si="7"/>
        <v/>
      </c>
      <c r="O5" s="21" t="str">
        <f t="shared" si="7"/>
        <v/>
      </c>
      <c r="P5" s="53">
        <f t="shared" si="4"/>
        <v>0</v>
      </c>
      <c r="Q5" s="17" t="str">
        <f t="shared" si="5"/>
        <v/>
      </c>
      <c r="R5" s="57"/>
      <c r="S5" s="53">
        <f t="shared" si="6"/>
        <v>0</v>
      </c>
    </row>
    <row r="6" ht="11.25" customHeight="1" spans="1:19">
      <c r="A6" s="48" t="str">
        <f>C产品成本分析表!$A$4</f>
        <v>C</v>
      </c>
      <c r="B6" s="49">
        <f>C产品成本分析表!$C$4</f>
        <v>0</v>
      </c>
      <c r="C6" s="49">
        <f>C产品成本分析表!$O$5</f>
        <v>0</v>
      </c>
      <c r="D6" s="49">
        <f>C产品成本分析表!$O$6</f>
        <v>0</v>
      </c>
      <c r="E6" s="49">
        <f>C产品成本分析表!$O$7</f>
        <v>0</v>
      </c>
      <c r="F6" s="49">
        <f>C产品成本分析表!$O$8</f>
        <v>0</v>
      </c>
      <c r="G6" s="49">
        <f t="shared" si="0"/>
        <v>0</v>
      </c>
      <c r="H6" s="49">
        <f>C产品成本分析表!$O$10</f>
        <v>0</v>
      </c>
      <c r="I6" s="49">
        <f>C产品成本分析表!$O$11</f>
        <v>0</v>
      </c>
      <c r="J6" s="20" t="str">
        <f t="shared" si="1"/>
        <v/>
      </c>
      <c r="K6" s="20">
        <f t="shared" si="2"/>
        <v>0</v>
      </c>
      <c r="L6" s="21" t="str">
        <f t="shared" si="3"/>
        <v/>
      </c>
      <c r="M6" s="21" t="str">
        <f t="shared" ref="M6:O6" si="8">IF(G6=0,"",D6/$G6)</f>
        <v/>
      </c>
      <c r="N6" s="21" t="str">
        <f t="shared" si="8"/>
        <v/>
      </c>
      <c r="O6" s="21" t="str">
        <f t="shared" si="8"/>
        <v/>
      </c>
      <c r="P6" s="53">
        <f t="shared" si="4"/>
        <v>0</v>
      </c>
      <c r="Q6" s="17" t="str">
        <f t="shared" si="5"/>
        <v/>
      </c>
      <c r="R6" s="57"/>
      <c r="S6" s="53">
        <f t="shared" si="6"/>
        <v>0</v>
      </c>
    </row>
    <row r="7" ht="11.25" customHeight="1" spans="1:19">
      <c r="A7" s="48" t="str">
        <f>D产品成本分析表!$A$4</f>
        <v>D</v>
      </c>
      <c r="B7" s="49">
        <f>D产品成本分析表!$C$4</f>
        <v>0</v>
      </c>
      <c r="C7" s="49">
        <f>D产品成本分析表!$O$5</f>
        <v>0</v>
      </c>
      <c r="D7" s="49">
        <f>D产品成本分析表!$O$6</f>
        <v>0</v>
      </c>
      <c r="E7" s="49">
        <f>D产品成本分析表!$O$7</f>
        <v>0</v>
      </c>
      <c r="F7" s="49">
        <f>D产品成本分析表!$O$8</f>
        <v>0</v>
      </c>
      <c r="G7" s="49">
        <f t="shared" si="0"/>
        <v>0</v>
      </c>
      <c r="H7" s="49">
        <f>D产品成本分析表!$O$10</f>
        <v>0</v>
      </c>
      <c r="I7" s="49">
        <f>D产品成本分析表!$O$11</f>
        <v>0</v>
      </c>
      <c r="J7" s="20" t="str">
        <f t="shared" si="1"/>
        <v/>
      </c>
      <c r="K7" s="20">
        <f t="shared" si="2"/>
        <v>0</v>
      </c>
      <c r="L7" s="21" t="str">
        <f t="shared" si="3"/>
        <v/>
      </c>
      <c r="M7" s="21" t="str">
        <f t="shared" ref="M7:O7" si="9">IF(G7=0,"",D7/$G7)</f>
        <v/>
      </c>
      <c r="N7" s="21" t="str">
        <f t="shared" si="9"/>
        <v/>
      </c>
      <c r="O7" s="21" t="str">
        <f t="shared" si="9"/>
        <v/>
      </c>
      <c r="P7" s="53">
        <f t="shared" si="4"/>
        <v>0</v>
      </c>
      <c r="Q7" s="17" t="str">
        <f t="shared" si="5"/>
        <v/>
      </c>
      <c r="R7" s="57"/>
      <c r="S7" s="53">
        <f t="shared" si="6"/>
        <v>0</v>
      </c>
    </row>
    <row r="8" ht="11.25" customHeight="1" spans="1:19">
      <c r="A8" s="48" t="str">
        <f>E产品成本分析表!$A$4</f>
        <v>E</v>
      </c>
      <c r="B8" s="49">
        <f>E产品成本分析表!$C$4</f>
        <v>0</v>
      </c>
      <c r="C8" s="49">
        <f>E产品成本分析表!$O$5</f>
        <v>0</v>
      </c>
      <c r="D8" s="49">
        <f>E产品成本分析表!$O$6</f>
        <v>0</v>
      </c>
      <c r="E8" s="49">
        <f>E产品成本分析表!$O$7</f>
        <v>0</v>
      </c>
      <c r="F8" s="49">
        <f>E产品成本分析表!$O$8</f>
        <v>0</v>
      </c>
      <c r="G8" s="49">
        <f t="shared" si="0"/>
        <v>0</v>
      </c>
      <c r="H8" s="49">
        <f>E产品成本分析表!$O$10</f>
        <v>0</v>
      </c>
      <c r="I8" s="49">
        <f>E产品成本分析表!$O$11</f>
        <v>0</v>
      </c>
      <c r="J8" s="20" t="str">
        <f t="shared" si="1"/>
        <v/>
      </c>
      <c r="K8" s="20">
        <f t="shared" si="2"/>
        <v>0</v>
      </c>
      <c r="L8" s="21" t="str">
        <f t="shared" si="3"/>
        <v/>
      </c>
      <c r="M8" s="21" t="str">
        <f t="shared" ref="M8:O8" si="10">IF(G8=0,"",D8/$G8)</f>
        <v/>
      </c>
      <c r="N8" s="21" t="str">
        <f t="shared" si="10"/>
        <v/>
      </c>
      <c r="O8" s="21" t="str">
        <f t="shared" si="10"/>
        <v/>
      </c>
      <c r="P8" s="53">
        <f t="shared" si="4"/>
        <v>0</v>
      </c>
      <c r="Q8" s="17" t="str">
        <f t="shared" si="5"/>
        <v/>
      </c>
      <c r="R8" s="57"/>
      <c r="S8" s="53">
        <f t="shared" si="6"/>
        <v>0</v>
      </c>
    </row>
    <row r="9" ht="11.25" customHeight="1" spans="1:19">
      <c r="A9" s="48" t="str">
        <f>F产品成本分析表!$A$4</f>
        <v>F</v>
      </c>
      <c r="B9" s="49">
        <f>F产品成本分析表!$C$4</f>
        <v>0</v>
      </c>
      <c r="C9" s="49">
        <f>F产品成本分析表!$O$5</f>
        <v>0</v>
      </c>
      <c r="D9" s="49">
        <f>F产品成本分析表!$O$6</f>
        <v>0</v>
      </c>
      <c r="E9" s="49">
        <f>F产品成本分析表!$O$7</f>
        <v>0</v>
      </c>
      <c r="F9" s="49">
        <f>F产品成本分析表!$O$8</f>
        <v>0</v>
      </c>
      <c r="G9" s="49">
        <f t="shared" si="0"/>
        <v>0</v>
      </c>
      <c r="H9" s="49">
        <f>F产品成本分析表!$O$10</f>
        <v>0</v>
      </c>
      <c r="I9" s="49">
        <f>F产品成本分析表!$O$11</f>
        <v>0</v>
      </c>
      <c r="J9" s="20" t="str">
        <f t="shared" si="1"/>
        <v/>
      </c>
      <c r="K9" s="20">
        <f t="shared" si="2"/>
        <v>0</v>
      </c>
      <c r="L9" s="21" t="str">
        <f t="shared" si="3"/>
        <v/>
      </c>
      <c r="M9" s="21" t="str">
        <f t="shared" ref="M9:O9" si="11">IF(G9=0,"",D9/$G9)</f>
        <v/>
      </c>
      <c r="N9" s="21" t="str">
        <f t="shared" si="11"/>
        <v/>
      </c>
      <c r="O9" s="21" t="str">
        <f t="shared" si="11"/>
        <v/>
      </c>
      <c r="P9" s="53">
        <f t="shared" si="4"/>
        <v>0</v>
      </c>
      <c r="Q9" s="17" t="str">
        <f t="shared" si="5"/>
        <v/>
      </c>
      <c r="R9" s="57"/>
      <c r="S9" s="53">
        <f t="shared" si="6"/>
        <v>0</v>
      </c>
    </row>
    <row r="10" ht="11.25" customHeight="1" spans="1:19">
      <c r="A10" s="48" t="str">
        <f>G产品成本分析表!$A$4</f>
        <v>G</v>
      </c>
      <c r="B10" s="49">
        <f>G产品成本分析表!$C$4</f>
        <v>0</v>
      </c>
      <c r="C10" s="49">
        <f>G产品成本分析表!$O$5</f>
        <v>0</v>
      </c>
      <c r="D10" s="49">
        <f>G产品成本分析表!$O$6</f>
        <v>0</v>
      </c>
      <c r="E10" s="49">
        <f>G产品成本分析表!$O$7</f>
        <v>0</v>
      </c>
      <c r="F10" s="49">
        <f>G产品成本分析表!$O$8</f>
        <v>0</v>
      </c>
      <c r="G10" s="49">
        <f t="shared" si="0"/>
        <v>0</v>
      </c>
      <c r="H10" s="49">
        <f>G产品成本分析表!$O$10</f>
        <v>0</v>
      </c>
      <c r="I10" s="49">
        <f>G产品成本分析表!$O$11</f>
        <v>0</v>
      </c>
      <c r="J10" s="20" t="str">
        <f t="shared" si="1"/>
        <v/>
      </c>
      <c r="K10" s="20">
        <f t="shared" si="2"/>
        <v>0</v>
      </c>
      <c r="L10" s="21" t="str">
        <f t="shared" si="3"/>
        <v/>
      </c>
      <c r="M10" s="21" t="str">
        <f t="shared" ref="M10:O10" si="12">IF(G10=0,"",D10/$G10)</f>
        <v/>
      </c>
      <c r="N10" s="21" t="str">
        <f t="shared" si="12"/>
        <v/>
      </c>
      <c r="O10" s="21" t="str">
        <f t="shared" si="12"/>
        <v/>
      </c>
      <c r="P10" s="53">
        <f t="shared" si="4"/>
        <v>0</v>
      </c>
      <c r="Q10" s="17" t="str">
        <f t="shared" si="5"/>
        <v/>
      </c>
      <c r="R10" s="57"/>
      <c r="S10" s="53">
        <f t="shared" si="6"/>
        <v>0</v>
      </c>
    </row>
    <row r="11" ht="11.25" customHeight="1" spans="1:19">
      <c r="A11" s="48" t="str">
        <f>其他产品成本表!A4</f>
        <v>H</v>
      </c>
      <c r="B11" s="20">
        <f>其他产品成本表!C4</f>
        <v>0</v>
      </c>
      <c r="C11" s="20">
        <f>其他产品成本表!$O5</f>
        <v>0</v>
      </c>
      <c r="D11" s="20">
        <f>其他产品成本表!$O6</f>
        <v>0</v>
      </c>
      <c r="E11" s="20">
        <f>其他产品成本表!$O7</f>
        <v>0</v>
      </c>
      <c r="F11" s="20">
        <f>其他产品成本表!$O8</f>
        <v>0</v>
      </c>
      <c r="G11" s="49">
        <f t="shared" si="0"/>
        <v>0</v>
      </c>
      <c r="H11" s="20">
        <f>其他产品成本表!O10</f>
        <v>0</v>
      </c>
      <c r="I11" s="20">
        <f>其他产品成本表!O11</f>
        <v>0</v>
      </c>
      <c r="J11" s="20" t="str">
        <f t="shared" si="1"/>
        <v/>
      </c>
      <c r="K11" s="20">
        <f t="shared" si="2"/>
        <v>0</v>
      </c>
      <c r="L11" s="21" t="str">
        <f t="shared" si="3"/>
        <v/>
      </c>
      <c r="M11" s="21" t="str">
        <f t="shared" ref="M11:O11" si="13">IF(G11=0,"",D11/$G11)</f>
        <v/>
      </c>
      <c r="N11" s="21" t="str">
        <f t="shared" si="13"/>
        <v/>
      </c>
      <c r="O11" s="21" t="str">
        <f t="shared" si="13"/>
        <v/>
      </c>
      <c r="P11" s="53">
        <f t="shared" si="4"/>
        <v>0</v>
      </c>
      <c r="Q11" s="17" t="str">
        <f t="shared" si="5"/>
        <v/>
      </c>
      <c r="R11" s="57"/>
      <c r="S11" s="53">
        <f t="shared" si="6"/>
        <v>0</v>
      </c>
    </row>
    <row r="12" ht="11.25" customHeight="1" spans="1:19">
      <c r="A12" s="48" t="str">
        <f>其他产品成本表!A14</f>
        <v>I</v>
      </c>
      <c r="B12" s="20">
        <f>其他产品成本表!C14</f>
        <v>0</v>
      </c>
      <c r="C12" s="20">
        <f>其他产品成本表!$O15</f>
        <v>0</v>
      </c>
      <c r="D12" s="20">
        <f>其他产品成本表!$O16</f>
        <v>0</v>
      </c>
      <c r="E12" s="20">
        <f>其他产品成本表!$O17</f>
        <v>0</v>
      </c>
      <c r="F12" s="20">
        <f>其他产品成本表!$O18</f>
        <v>0</v>
      </c>
      <c r="G12" s="49">
        <f t="shared" si="0"/>
        <v>0</v>
      </c>
      <c r="H12" s="20">
        <f>其他产品成本表!O20</f>
        <v>0</v>
      </c>
      <c r="I12" s="20">
        <f>其他产品成本表!$O21</f>
        <v>0</v>
      </c>
      <c r="J12" s="20" t="str">
        <f t="shared" si="1"/>
        <v/>
      </c>
      <c r="K12" s="20">
        <f t="shared" si="2"/>
        <v>0</v>
      </c>
      <c r="L12" s="21" t="str">
        <f t="shared" si="3"/>
        <v/>
      </c>
      <c r="M12" s="21" t="str">
        <f t="shared" ref="M12:O12" si="14">IF(G12=0,"",D12/$G12)</f>
        <v/>
      </c>
      <c r="N12" s="21" t="str">
        <f t="shared" si="14"/>
        <v/>
      </c>
      <c r="O12" s="21" t="str">
        <f t="shared" si="14"/>
        <v/>
      </c>
      <c r="P12" s="53">
        <f t="shared" si="4"/>
        <v>0</v>
      </c>
      <c r="Q12" s="17" t="str">
        <f t="shared" si="5"/>
        <v/>
      </c>
      <c r="R12" s="57"/>
      <c r="S12" s="53">
        <f t="shared" si="6"/>
        <v>0</v>
      </c>
    </row>
    <row r="13" ht="11.25" customHeight="1" spans="1:19">
      <c r="A13" s="48" t="str">
        <f>其他产品成本表!A24</f>
        <v>J</v>
      </c>
      <c r="B13" s="20">
        <f>其他产品成本表!C24</f>
        <v>0</v>
      </c>
      <c r="C13" s="20">
        <f>其他产品成本表!$O25</f>
        <v>0</v>
      </c>
      <c r="D13" s="20">
        <f>其他产品成本表!$O26</f>
        <v>0</v>
      </c>
      <c r="E13" s="20">
        <f>其他产品成本表!$O27</f>
        <v>0</v>
      </c>
      <c r="F13" s="20">
        <f>其他产品成本表!$O28</f>
        <v>0</v>
      </c>
      <c r="G13" s="49">
        <f t="shared" si="0"/>
        <v>0</v>
      </c>
      <c r="H13" s="20">
        <f>其他产品成本表!O30</f>
        <v>0</v>
      </c>
      <c r="I13" s="20">
        <f>其他产品成本表!$O31</f>
        <v>0</v>
      </c>
      <c r="J13" s="20" t="str">
        <f t="shared" si="1"/>
        <v/>
      </c>
      <c r="K13" s="20">
        <f t="shared" si="2"/>
        <v>0</v>
      </c>
      <c r="L13" s="21" t="str">
        <f t="shared" si="3"/>
        <v/>
      </c>
      <c r="M13" s="21" t="str">
        <f t="shared" ref="M13:O13" si="15">IF(G13=0,"",D13/$G13)</f>
        <v/>
      </c>
      <c r="N13" s="21" t="str">
        <f t="shared" si="15"/>
        <v/>
      </c>
      <c r="O13" s="21" t="str">
        <f t="shared" si="15"/>
        <v/>
      </c>
      <c r="P13" s="53">
        <f t="shared" si="4"/>
        <v>0</v>
      </c>
      <c r="Q13" s="17" t="str">
        <f t="shared" si="5"/>
        <v/>
      </c>
      <c r="R13" s="57"/>
      <c r="S13" s="53">
        <f t="shared" si="6"/>
        <v>0</v>
      </c>
    </row>
    <row r="14" ht="11.25" customHeight="1" spans="1:19">
      <c r="A14" s="48" t="str">
        <f>其他产品成本表!A34</f>
        <v>K</v>
      </c>
      <c r="B14" s="20">
        <f>其他产品成本表!C34</f>
        <v>0</v>
      </c>
      <c r="C14" s="20">
        <f>其他产品成本表!$O35</f>
        <v>0</v>
      </c>
      <c r="D14" s="20">
        <f>其他产品成本表!$O36</f>
        <v>0</v>
      </c>
      <c r="E14" s="20">
        <f>其他产品成本表!$O37</f>
        <v>0</v>
      </c>
      <c r="F14" s="20">
        <f>其他产品成本表!$O38</f>
        <v>0</v>
      </c>
      <c r="G14" s="49">
        <f t="shared" si="0"/>
        <v>0</v>
      </c>
      <c r="H14" s="20">
        <f>其他产品成本表!O40</f>
        <v>0</v>
      </c>
      <c r="I14" s="20">
        <f>其他产品成本表!$O41</f>
        <v>0</v>
      </c>
      <c r="J14" s="20" t="str">
        <f t="shared" si="1"/>
        <v/>
      </c>
      <c r="K14" s="20">
        <f t="shared" si="2"/>
        <v>0</v>
      </c>
      <c r="L14" s="21" t="str">
        <f t="shared" si="3"/>
        <v/>
      </c>
      <c r="M14" s="21" t="str">
        <f t="shared" ref="M14:O14" si="16">IF(G14=0,"",D14/$G14)</f>
        <v/>
      </c>
      <c r="N14" s="21" t="str">
        <f t="shared" si="16"/>
        <v/>
      </c>
      <c r="O14" s="21" t="str">
        <f t="shared" si="16"/>
        <v/>
      </c>
      <c r="P14" s="53">
        <f t="shared" si="4"/>
        <v>0</v>
      </c>
      <c r="Q14" s="17" t="str">
        <f t="shared" si="5"/>
        <v/>
      </c>
      <c r="R14" s="57"/>
      <c r="S14" s="53">
        <f t="shared" si="6"/>
        <v>0</v>
      </c>
    </row>
    <row r="15" ht="11.25" customHeight="1" spans="1:19">
      <c r="A15" s="48" t="str">
        <f>其他产品成本表!A44</f>
        <v>L</v>
      </c>
      <c r="B15" s="20">
        <f>其他产品成本表!C44</f>
        <v>0</v>
      </c>
      <c r="C15" s="20">
        <f>其他产品成本表!$O45</f>
        <v>0</v>
      </c>
      <c r="D15" s="20">
        <f>其他产品成本表!$O46</f>
        <v>0</v>
      </c>
      <c r="E15" s="20">
        <f>其他产品成本表!$O47</f>
        <v>0</v>
      </c>
      <c r="F15" s="20">
        <f>其他产品成本表!$O48</f>
        <v>0</v>
      </c>
      <c r="G15" s="49">
        <f t="shared" si="0"/>
        <v>0</v>
      </c>
      <c r="H15" s="20">
        <f>其他产品成本表!O50</f>
        <v>0</v>
      </c>
      <c r="I15" s="20">
        <f>其他产品成本表!$O51</f>
        <v>0</v>
      </c>
      <c r="J15" s="20" t="str">
        <f t="shared" si="1"/>
        <v/>
      </c>
      <c r="K15" s="20">
        <f t="shared" si="2"/>
        <v>0</v>
      </c>
      <c r="L15" s="21" t="str">
        <f t="shared" si="3"/>
        <v/>
      </c>
      <c r="M15" s="21" t="str">
        <f t="shared" ref="M15:O15" si="17">IF(G15=0,"",D15/$G15)</f>
        <v/>
      </c>
      <c r="N15" s="21" t="str">
        <f t="shared" si="17"/>
        <v/>
      </c>
      <c r="O15" s="21" t="str">
        <f t="shared" si="17"/>
        <v/>
      </c>
      <c r="P15" s="53">
        <f t="shared" si="4"/>
        <v>0</v>
      </c>
      <c r="Q15" s="17" t="str">
        <f t="shared" si="5"/>
        <v/>
      </c>
      <c r="R15" s="57"/>
      <c r="S15" s="53">
        <f t="shared" si="6"/>
        <v>0</v>
      </c>
    </row>
    <row r="16" ht="11.25" customHeight="1" spans="1:19">
      <c r="A16" s="48" t="str">
        <f>其他产品成本表!A54</f>
        <v>M</v>
      </c>
      <c r="B16" s="20">
        <f>其他产品成本表!C54</f>
        <v>0</v>
      </c>
      <c r="C16" s="20">
        <f>其他产品成本表!$O55</f>
        <v>0</v>
      </c>
      <c r="D16" s="20">
        <f>其他产品成本表!$O66</f>
        <v>0</v>
      </c>
      <c r="E16" s="20">
        <f>其他产品成本表!$O77</f>
        <v>0</v>
      </c>
      <c r="F16" s="20">
        <f>其他产品成本表!$O88</f>
        <v>0</v>
      </c>
      <c r="G16" s="49">
        <f t="shared" si="0"/>
        <v>0</v>
      </c>
      <c r="H16" s="20">
        <f>其他产品成本表!O60</f>
        <v>0</v>
      </c>
      <c r="I16" s="20">
        <f>其他产品成本表!$O61</f>
        <v>0</v>
      </c>
      <c r="J16" s="20" t="str">
        <f t="shared" si="1"/>
        <v/>
      </c>
      <c r="K16" s="20">
        <f t="shared" si="2"/>
        <v>0</v>
      </c>
      <c r="L16" s="21" t="str">
        <f t="shared" si="3"/>
        <v/>
      </c>
      <c r="M16" s="21" t="str">
        <f t="shared" ref="M16:O16" si="18">IF(G16=0,"",D16/$G16)</f>
        <v/>
      </c>
      <c r="N16" s="21" t="str">
        <f t="shared" si="18"/>
        <v/>
      </c>
      <c r="O16" s="21" t="str">
        <f t="shared" si="18"/>
        <v/>
      </c>
      <c r="P16" s="53">
        <f t="shared" si="4"/>
        <v>0</v>
      </c>
      <c r="Q16" s="17" t="str">
        <f t="shared" si="5"/>
        <v/>
      </c>
      <c r="R16" s="57"/>
      <c r="S16" s="53">
        <f t="shared" si="6"/>
        <v>0</v>
      </c>
    </row>
    <row r="17" ht="11.25" customHeight="1" spans="1:29">
      <c r="A17" s="48" t="str">
        <f>其他产品成本表!A64</f>
        <v>N</v>
      </c>
      <c r="B17" s="20">
        <f>其他产品成本表!C64</f>
        <v>0</v>
      </c>
      <c r="C17" s="20">
        <f>其他产品成本表!$O65</f>
        <v>0</v>
      </c>
      <c r="D17" s="20">
        <f>其他产品成本表!$O66</f>
        <v>0</v>
      </c>
      <c r="E17" s="20">
        <f>其他产品成本表!$O77</f>
        <v>0</v>
      </c>
      <c r="F17" s="20">
        <f>其他产品成本表!$O88</f>
        <v>0</v>
      </c>
      <c r="G17" s="49">
        <f t="shared" si="0"/>
        <v>0</v>
      </c>
      <c r="H17" s="20">
        <f>其他产品成本表!O70</f>
        <v>0</v>
      </c>
      <c r="I17" s="20">
        <f>其他产品成本表!$O71</f>
        <v>0</v>
      </c>
      <c r="J17" s="20" t="str">
        <f t="shared" si="1"/>
        <v/>
      </c>
      <c r="K17" s="20">
        <f t="shared" si="2"/>
        <v>0</v>
      </c>
      <c r="L17" s="21" t="str">
        <f t="shared" si="3"/>
        <v/>
      </c>
      <c r="M17" s="21" t="str">
        <f t="shared" ref="M17:O17" si="19">IF(G17=0,"",D17/$G17)</f>
        <v/>
      </c>
      <c r="N17" s="21" t="str">
        <f t="shared" si="19"/>
        <v/>
      </c>
      <c r="O17" s="21" t="str">
        <f t="shared" si="19"/>
        <v/>
      </c>
      <c r="P17" s="53">
        <f t="shared" si="4"/>
        <v>0</v>
      </c>
      <c r="Q17" s="17" t="str">
        <f t="shared" si="5"/>
        <v/>
      </c>
      <c r="R17" s="57"/>
      <c r="S17" s="53">
        <f t="shared" si="6"/>
        <v>0</v>
      </c>
      <c r="T17" s="58"/>
      <c r="U17" s="58"/>
      <c r="V17" s="58"/>
      <c r="W17" s="58"/>
      <c r="X17" s="58"/>
      <c r="Y17" s="58"/>
      <c r="Z17" s="58"/>
      <c r="AA17" s="58"/>
      <c r="AB17" s="58"/>
      <c r="AC17" s="58"/>
    </row>
    <row r="18" ht="11.25" customHeight="1" spans="1:29">
      <c r="A18" s="48" t="str">
        <f>其他产品成本表!A74</f>
        <v>O</v>
      </c>
      <c r="B18" s="20">
        <f>其他产品成本表!C74</f>
        <v>0</v>
      </c>
      <c r="C18" s="20">
        <f>其他产品成本表!$O75</f>
        <v>0</v>
      </c>
      <c r="D18" s="20">
        <f>其他产品成本表!$O76</f>
        <v>0</v>
      </c>
      <c r="E18" s="20">
        <f>其他产品成本表!$O77</f>
        <v>0</v>
      </c>
      <c r="F18" s="20">
        <f>其他产品成本表!$O78</f>
        <v>0</v>
      </c>
      <c r="G18" s="49">
        <f t="shared" si="0"/>
        <v>0</v>
      </c>
      <c r="H18" s="20">
        <f>其他产品成本表!O80</f>
        <v>0</v>
      </c>
      <c r="I18" s="20">
        <f>其他产品成本表!$O81</f>
        <v>0</v>
      </c>
      <c r="J18" s="20" t="str">
        <f t="shared" si="1"/>
        <v/>
      </c>
      <c r="K18" s="20">
        <f t="shared" si="2"/>
        <v>0</v>
      </c>
      <c r="L18" s="21" t="str">
        <f t="shared" si="3"/>
        <v/>
      </c>
      <c r="M18" s="21" t="str">
        <f t="shared" ref="M18:O18" si="20">IF(G18=0,"",D18/$G18)</f>
        <v/>
      </c>
      <c r="N18" s="21" t="str">
        <f t="shared" si="20"/>
        <v/>
      </c>
      <c r="O18" s="21" t="str">
        <f t="shared" si="20"/>
        <v/>
      </c>
      <c r="P18" s="53">
        <f t="shared" si="4"/>
        <v>0</v>
      </c>
      <c r="Q18" s="17" t="str">
        <f t="shared" si="5"/>
        <v/>
      </c>
      <c r="R18" s="57"/>
      <c r="S18" s="53">
        <f t="shared" si="6"/>
        <v>0</v>
      </c>
      <c r="T18" s="58"/>
      <c r="U18" s="58"/>
      <c r="V18" s="58"/>
      <c r="W18" s="58"/>
      <c r="X18" s="58"/>
      <c r="Y18" s="58"/>
      <c r="Z18" s="58"/>
      <c r="AA18" s="58"/>
      <c r="AB18" s="58"/>
      <c r="AC18" s="58"/>
    </row>
    <row r="19" ht="11.25" customHeight="1" spans="1:29">
      <c r="A19" s="48" t="str">
        <f>其他产品成本表!A84</f>
        <v>P</v>
      </c>
      <c r="B19" s="20">
        <f>其他产品成本表!C84</f>
        <v>0</v>
      </c>
      <c r="C19" s="20">
        <f>其他产品成本表!$O85</f>
        <v>0</v>
      </c>
      <c r="D19" s="20">
        <f>其他产品成本表!$O86</f>
        <v>0</v>
      </c>
      <c r="E19" s="20">
        <f>其他产品成本表!$O87</f>
        <v>0</v>
      </c>
      <c r="F19" s="20">
        <f>其他产品成本表!$O88</f>
        <v>0</v>
      </c>
      <c r="G19" s="49">
        <f t="shared" si="0"/>
        <v>0</v>
      </c>
      <c r="H19" s="20">
        <f>其他产品成本表!O90</f>
        <v>0</v>
      </c>
      <c r="I19" s="20">
        <f>其他产品成本表!$O91</f>
        <v>0</v>
      </c>
      <c r="J19" s="20" t="str">
        <f t="shared" si="1"/>
        <v/>
      </c>
      <c r="K19" s="20">
        <f t="shared" si="2"/>
        <v>0</v>
      </c>
      <c r="L19" s="21" t="str">
        <f t="shared" si="3"/>
        <v/>
      </c>
      <c r="M19" s="21" t="str">
        <f t="shared" ref="M19:O19" si="21">IF(G19=0,"",D19/$G19)</f>
        <v/>
      </c>
      <c r="N19" s="21" t="str">
        <f t="shared" si="21"/>
        <v/>
      </c>
      <c r="O19" s="21" t="str">
        <f t="shared" si="21"/>
        <v/>
      </c>
      <c r="P19" s="53">
        <f t="shared" si="4"/>
        <v>0</v>
      </c>
      <c r="Q19" s="17" t="str">
        <f t="shared" si="5"/>
        <v/>
      </c>
      <c r="R19" s="57"/>
      <c r="S19" s="53">
        <f t="shared" si="6"/>
        <v>0</v>
      </c>
      <c r="T19" s="58"/>
      <c r="U19" s="58"/>
      <c r="V19" s="58"/>
      <c r="W19" s="58"/>
      <c r="X19" s="58"/>
      <c r="Y19" s="58"/>
      <c r="Z19" s="58"/>
      <c r="AA19" s="58"/>
      <c r="AB19" s="58"/>
      <c r="AC19" s="58"/>
    </row>
    <row r="20" ht="11.25" customHeight="1" spans="1:29">
      <c r="A20" s="48" t="str">
        <f>其他产品成本表!A94</f>
        <v>Q</v>
      </c>
      <c r="B20" s="20">
        <f>其他产品成本表!C94</f>
        <v>0</v>
      </c>
      <c r="C20" s="20">
        <f>其他产品成本表!$O95</f>
        <v>0</v>
      </c>
      <c r="D20" s="20">
        <f>其他产品成本表!$O96</f>
        <v>0</v>
      </c>
      <c r="E20" s="20">
        <f>其他产品成本表!$O97</f>
        <v>0</v>
      </c>
      <c r="F20" s="20">
        <f>其他产品成本表!$O98</f>
        <v>0</v>
      </c>
      <c r="G20" s="49">
        <f t="shared" si="0"/>
        <v>0</v>
      </c>
      <c r="H20" s="20">
        <f>其他产品成本表!O100</f>
        <v>0</v>
      </c>
      <c r="I20" s="20">
        <f>其他产品成本表!$O101</f>
        <v>0</v>
      </c>
      <c r="J20" s="20" t="str">
        <f t="shared" si="1"/>
        <v/>
      </c>
      <c r="K20" s="20">
        <f t="shared" si="2"/>
        <v>0</v>
      </c>
      <c r="L20" s="21" t="str">
        <f t="shared" si="3"/>
        <v/>
      </c>
      <c r="M20" s="21" t="str">
        <f t="shared" ref="M20:O20" si="22">IF(G20=0,"",D20/$G20)</f>
        <v/>
      </c>
      <c r="N20" s="21" t="str">
        <f t="shared" si="22"/>
        <v/>
      </c>
      <c r="O20" s="21" t="str">
        <f t="shared" si="22"/>
        <v/>
      </c>
      <c r="P20" s="53">
        <f t="shared" si="4"/>
        <v>0</v>
      </c>
      <c r="Q20" s="17" t="str">
        <f t="shared" si="5"/>
        <v/>
      </c>
      <c r="R20" s="57"/>
      <c r="S20" s="53">
        <f t="shared" si="6"/>
        <v>0</v>
      </c>
      <c r="T20" s="58"/>
      <c r="U20" s="58"/>
      <c r="V20" s="58"/>
      <c r="W20" s="58"/>
      <c r="X20" s="58"/>
      <c r="Y20" s="58"/>
      <c r="Z20" s="58"/>
      <c r="AA20" s="58"/>
      <c r="AB20" s="58"/>
      <c r="AC20" s="58"/>
    </row>
    <row r="21" ht="11.25" customHeight="1" spans="1:29">
      <c r="A21" s="50" t="s">
        <v>689</v>
      </c>
      <c r="B21" s="51">
        <f t="shared" ref="B21:I21" si="23">SUM(B4:B20)</f>
        <v>0</v>
      </c>
      <c r="C21" s="51">
        <f t="shared" si="23"/>
        <v>0</v>
      </c>
      <c r="D21" s="51">
        <f t="shared" si="23"/>
        <v>0</v>
      </c>
      <c r="E21" s="51">
        <f t="shared" si="23"/>
        <v>0</v>
      </c>
      <c r="F21" s="51">
        <f t="shared" si="23"/>
        <v>0</v>
      </c>
      <c r="G21" s="51">
        <f t="shared" si="23"/>
        <v>0</v>
      </c>
      <c r="H21" s="51">
        <f t="shared" si="23"/>
        <v>0</v>
      </c>
      <c r="I21" s="51">
        <f t="shared" si="23"/>
        <v>0</v>
      </c>
      <c r="J21" s="51"/>
      <c r="K21" s="54">
        <f t="shared" si="2"/>
        <v>0</v>
      </c>
      <c r="L21" s="55"/>
      <c r="M21" s="55"/>
      <c r="N21" s="55"/>
      <c r="O21" s="55"/>
      <c r="P21" s="56">
        <f t="shared" si="4"/>
        <v>0</v>
      </c>
      <c r="Q21" s="54"/>
      <c r="R21" s="59">
        <f>SUM(R4:R20)</f>
        <v>0</v>
      </c>
      <c r="S21" s="56">
        <f t="shared" si="6"/>
        <v>0</v>
      </c>
      <c r="T21" s="58"/>
      <c r="U21" s="58"/>
      <c r="V21" s="58"/>
      <c r="W21" s="58"/>
      <c r="X21" s="58"/>
      <c r="Y21" s="58"/>
      <c r="Z21" s="58"/>
      <c r="AA21" s="58"/>
      <c r="AB21" s="58"/>
      <c r="AC21" s="58"/>
    </row>
    <row r="22" spans="1:9">
      <c r="A22" s="4" t="s">
        <v>1487</v>
      </c>
      <c r="I22" s="4" t="s">
        <v>1488</v>
      </c>
    </row>
    <row r="24" s="3" customFormat="1" spans="1:29">
      <c r="A24" s="4"/>
      <c r="C24" s="2"/>
      <c r="D24" s="2"/>
      <c r="E24" s="2"/>
      <c r="F24" s="2"/>
      <c r="G24" s="2"/>
      <c r="H24" s="2"/>
      <c r="I24" s="2"/>
      <c r="J24" s="2"/>
      <c r="K24" s="2"/>
      <c r="L24" s="2"/>
      <c r="M24" s="2"/>
      <c r="N24" s="2"/>
      <c r="O24" s="2"/>
      <c r="P24" s="2"/>
      <c r="Q24" s="2"/>
      <c r="R24" s="2"/>
      <c r="S24" s="2"/>
      <c r="T24" s="2"/>
      <c r="U24" s="2"/>
      <c r="V24" s="2"/>
      <c r="W24" s="2"/>
      <c r="X24" s="2"/>
      <c r="Y24" s="2"/>
      <c r="Z24" s="2"/>
      <c r="AA24" s="2"/>
      <c r="AB24" s="2"/>
      <c r="AC24" s="2"/>
    </row>
    <row r="25" s="3" customFormat="1" spans="1:29">
      <c r="A25" s="4"/>
      <c r="C25" s="2"/>
      <c r="D25" s="2"/>
      <c r="E25" s="2"/>
      <c r="F25" s="2"/>
      <c r="G25" s="2"/>
      <c r="H25" s="2"/>
      <c r="I25" s="2"/>
      <c r="J25" s="2"/>
      <c r="K25" s="2"/>
      <c r="L25" s="2"/>
      <c r="M25" s="2"/>
      <c r="N25" s="2"/>
      <c r="O25" s="2"/>
      <c r="P25" s="2"/>
      <c r="Q25" s="2"/>
      <c r="R25" s="2"/>
      <c r="S25" s="2"/>
      <c r="T25" s="2"/>
      <c r="U25" s="2"/>
      <c r="V25" s="2"/>
      <c r="W25" s="2"/>
      <c r="X25" s="2"/>
      <c r="Y25" s="2"/>
      <c r="Z25" s="2"/>
      <c r="AA25" s="2"/>
      <c r="AB25" s="2"/>
      <c r="AC25" s="2"/>
    </row>
    <row r="26" s="3" customFormat="1" spans="1:29">
      <c r="A26" s="4"/>
      <c r="C26" s="2"/>
      <c r="D26" s="2"/>
      <c r="E26" s="2"/>
      <c r="F26" s="2"/>
      <c r="G26" s="2"/>
      <c r="H26" s="2"/>
      <c r="I26" s="2"/>
      <c r="J26" s="2"/>
      <c r="K26" s="2"/>
      <c r="L26" s="2"/>
      <c r="M26" s="2"/>
      <c r="N26" s="2"/>
      <c r="O26" s="2"/>
      <c r="P26" s="2"/>
      <c r="Q26" s="2"/>
      <c r="R26" s="2"/>
      <c r="S26" s="2"/>
      <c r="T26" s="2"/>
      <c r="U26" s="2"/>
      <c r="V26" s="2"/>
      <c r="W26" s="2"/>
      <c r="X26" s="2"/>
      <c r="Y26" s="2"/>
      <c r="Z26" s="2"/>
      <c r="AA26" s="2"/>
      <c r="AB26" s="2"/>
      <c r="AC26" s="2"/>
    </row>
    <row r="42" ht="13.5" customHeight="1" spans="1:31">
      <c r="A42" s="4" t="s">
        <v>1489</v>
      </c>
      <c r="E42" s="4" t="s">
        <v>1490</v>
      </c>
      <c r="I42" s="4" t="s">
        <v>1435</v>
      </c>
      <c r="P42" s="24" t="s">
        <v>1491</v>
      </c>
      <c r="Q42" s="24"/>
      <c r="R42" s="4"/>
      <c r="S42" s="3"/>
      <c r="W42" s="4"/>
      <c r="AB42" s="4"/>
      <c r="AE42" s="24"/>
    </row>
    <row r="43" customHeight="1" spans="1:31">
      <c r="A43" s="5" t="s">
        <v>1433</v>
      </c>
      <c r="B43" s="6"/>
      <c r="D43" s="7"/>
      <c r="E43" s="5" t="s">
        <v>1434</v>
      </c>
      <c r="F43" s="7"/>
      <c r="G43" s="7"/>
      <c r="H43" s="7"/>
      <c r="I43" s="5" t="s">
        <v>1435</v>
      </c>
      <c r="J43" s="7"/>
      <c r="K43" s="7"/>
      <c r="L43" s="7"/>
      <c r="Q43" s="25" t="s">
        <v>1436</v>
      </c>
      <c r="R43" s="5"/>
      <c r="S43" s="6"/>
      <c r="U43" s="7"/>
      <c r="W43" s="5"/>
      <c r="X43" s="7"/>
      <c r="Z43" s="7"/>
      <c r="AA43" s="7"/>
      <c r="AB43" s="5"/>
      <c r="AE43" s="25"/>
    </row>
    <row r="44" spans="1:9">
      <c r="A44" s="4" t="s">
        <v>1492</v>
      </c>
      <c r="I44" s="4" t="s">
        <v>1493</v>
      </c>
    </row>
    <row r="59" s="3" customFormat="1" spans="1:29">
      <c r="A59" s="4" t="s">
        <v>1494</v>
      </c>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73" s="3" customFormat="1" spans="1:29">
      <c r="A73" s="4" t="s">
        <v>1495</v>
      </c>
      <c r="C73" s="2"/>
      <c r="D73" s="2"/>
      <c r="E73" s="2"/>
      <c r="F73" s="2"/>
      <c r="G73" s="2"/>
      <c r="H73" s="2"/>
      <c r="I73" s="2"/>
      <c r="J73" s="2"/>
      <c r="K73" s="2"/>
      <c r="L73" s="2"/>
      <c r="M73" s="2"/>
      <c r="N73" s="2"/>
      <c r="O73" s="2"/>
      <c r="P73" s="2"/>
      <c r="Q73" s="2"/>
      <c r="R73" s="2"/>
      <c r="S73" s="2"/>
      <c r="T73" s="2"/>
      <c r="U73" s="2"/>
      <c r="V73" s="2"/>
      <c r="W73" s="2"/>
      <c r="X73" s="2"/>
      <c r="Y73" s="2"/>
      <c r="Z73" s="2"/>
      <c r="AA73" s="2"/>
      <c r="AB73" s="2"/>
      <c r="AC73" s="2"/>
    </row>
  </sheetData>
  <conditionalFormatting sqref="Q4:Q20">
    <cfRule type="cellIs" dxfId="6" priority="1" stopIfTrue="1" operator="lessThanOrEqual">
      <formula>5</formula>
    </cfRule>
  </conditionalFormatting>
  <pageMargins left="0.75" right="0.75" top="1" bottom="1" header="0.509027777777778" footer="0.509027777777778"/>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AA31"/>
  <sheetViews>
    <sheetView workbookViewId="0">
      <selection activeCell="D18" sqref="$A1:$XFD65536"/>
    </sheetView>
  </sheetViews>
  <sheetFormatPr defaultColWidth="9" defaultRowHeight="12"/>
  <cols>
    <col min="1" max="1" width="7.125" style="2" customWidth="1"/>
    <col min="2" max="2" width="10.125" style="3" customWidth="1"/>
    <col min="3" max="14" width="8.625" style="2" customWidth="1"/>
    <col min="15" max="15" width="11.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1215</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AA31"/>
  <sheetViews>
    <sheetView workbookViewId="0">
      <selection activeCell="I17" sqref="I17"/>
    </sheetView>
  </sheetViews>
  <sheetFormatPr defaultColWidth="9" defaultRowHeight="12"/>
  <cols>
    <col min="1" max="1" width="7.125" style="2" customWidth="1"/>
    <col min="2" max="2" width="10.125" style="3" customWidth="1"/>
    <col min="3" max="14" width="8.625" style="2" customWidth="1"/>
    <col min="15" max="15" width="11.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1216</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IV26"/>
  <sheetViews>
    <sheetView zoomScale="90" zoomScaleNormal="90" workbookViewId="0">
      <selection activeCell="C6" sqref="C6"/>
    </sheetView>
  </sheetViews>
  <sheetFormatPr defaultColWidth="8" defaultRowHeight="17.25"/>
  <cols>
    <col min="1" max="6" width="19.875" style="1059" customWidth="1"/>
    <col min="7" max="223" width="8" style="1059"/>
    <col min="224" max="256" width="8" style="1060"/>
  </cols>
  <sheetData>
    <row r="1" s="1056" customFormat="1" ht="29.25" spans="1:256">
      <c r="A1" s="1061" t="s">
        <v>166</v>
      </c>
      <c r="B1" s="1061"/>
      <c r="C1" s="1061"/>
      <c r="D1" s="1061"/>
      <c r="E1" s="1061"/>
      <c r="F1" s="1061"/>
      <c r="G1" s="1059"/>
      <c r="H1" s="1059"/>
      <c r="I1" s="1059"/>
      <c r="J1" s="1059"/>
      <c r="K1" s="1059"/>
      <c r="L1" s="1059"/>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59"/>
      <c r="AO1" s="1059"/>
      <c r="AP1" s="1059"/>
      <c r="AQ1" s="1059"/>
      <c r="AR1" s="1059"/>
      <c r="AS1" s="1059"/>
      <c r="AT1" s="1059"/>
      <c r="AU1" s="1059"/>
      <c r="AV1" s="1059"/>
      <c r="AW1" s="1059"/>
      <c r="AX1" s="1059"/>
      <c r="AY1" s="1059"/>
      <c r="AZ1" s="1059"/>
      <c r="BA1" s="1059"/>
      <c r="BB1" s="1059"/>
      <c r="BC1" s="1059"/>
      <c r="BD1" s="1059"/>
      <c r="BE1" s="1059"/>
      <c r="BF1" s="1059"/>
      <c r="BG1" s="1059"/>
      <c r="BH1" s="1059"/>
      <c r="BI1" s="1059"/>
      <c r="BJ1" s="1059"/>
      <c r="BK1" s="1059"/>
      <c r="BL1" s="1059"/>
      <c r="BM1" s="1059"/>
      <c r="BN1" s="1059"/>
      <c r="BO1" s="1059"/>
      <c r="BP1" s="1059"/>
      <c r="BQ1" s="1059"/>
      <c r="BR1" s="1059"/>
      <c r="BS1" s="1059"/>
      <c r="BT1" s="1059"/>
      <c r="BU1" s="1059"/>
      <c r="BV1" s="1059"/>
      <c r="BW1" s="1059"/>
      <c r="BX1" s="1059"/>
      <c r="BY1" s="1059"/>
      <c r="BZ1" s="1059"/>
      <c r="CA1" s="1059"/>
      <c r="CB1" s="1059"/>
      <c r="CC1" s="1059"/>
      <c r="CD1" s="1059"/>
      <c r="CE1" s="1059"/>
      <c r="CF1" s="1059"/>
      <c r="CG1" s="1059"/>
      <c r="CH1" s="1059"/>
      <c r="CI1" s="1059"/>
      <c r="CJ1" s="1059"/>
      <c r="CK1" s="1059"/>
      <c r="CL1" s="1059"/>
      <c r="CM1" s="1059"/>
      <c r="CN1" s="1059"/>
      <c r="CO1" s="1059"/>
      <c r="CP1" s="1059"/>
      <c r="CQ1" s="1059"/>
      <c r="CR1" s="1059"/>
      <c r="CS1" s="1059"/>
      <c r="CT1" s="1059"/>
      <c r="CU1" s="1059"/>
      <c r="CV1" s="1059"/>
      <c r="CW1" s="1059"/>
      <c r="CX1" s="1059"/>
      <c r="CY1" s="1059"/>
      <c r="CZ1" s="1059"/>
      <c r="DA1" s="1059"/>
      <c r="DB1" s="1059"/>
      <c r="DC1" s="1059"/>
      <c r="DD1" s="1059"/>
      <c r="DE1" s="1059"/>
      <c r="DF1" s="1059"/>
      <c r="DG1" s="1059"/>
      <c r="DH1" s="1059"/>
      <c r="DI1" s="1059"/>
      <c r="DJ1" s="1059"/>
      <c r="DK1" s="1059"/>
      <c r="DL1" s="1059"/>
      <c r="DM1" s="1059"/>
      <c r="DN1" s="1059"/>
      <c r="DO1" s="1059"/>
      <c r="DP1" s="1059"/>
      <c r="DQ1" s="1059"/>
      <c r="DR1" s="1059"/>
      <c r="DS1" s="1059"/>
      <c r="DT1" s="1059"/>
      <c r="DU1" s="1059"/>
      <c r="DV1" s="1059"/>
      <c r="DW1" s="1059"/>
      <c r="DX1" s="1059"/>
      <c r="DY1" s="1059"/>
      <c r="DZ1" s="1059"/>
      <c r="EA1" s="1059"/>
      <c r="EB1" s="1059"/>
      <c r="EC1" s="1059"/>
      <c r="ED1" s="1059"/>
      <c r="EE1" s="1059"/>
      <c r="EF1" s="1059"/>
      <c r="EG1" s="1059"/>
      <c r="EH1" s="1059"/>
      <c r="EI1" s="1059"/>
      <c r="EJ1" s="1059"/>
      <c r="EK1" s="1059"/>
      <c r="EL1" s="1059"/>
      <c r="EM1" s="1059"/>
      <c r="EN1" s="1059"/>
      <c r="EO1" s="1059"/>
      <c r="EP1" s="1059"/>
      <c r="EQ1" s="1059"/>
      <c r="ER1" s="1059"/>
      <c r="ES1" s="1059"/>
      <c r="ET1" s="1059"/>
      <c r="EU1" s="1059"/>
      <c r="EV1" s="1059"/>
      <c r="EW1" s="1059"/>
      <c r="EX1" s="1059"/>
      <c r="EY1" s="1059"/>
      <c r="EZ1" s="1059"/>
      <c r="FA1" s="1059"/>
      <c r="FB1" s="1059"/>
      <c r="FC1" s="1059"/>
      <c r="FD1" s="1059"/>
      <c r="FE1" s="1059"/>
      <c r="FF1" s="1059"/>
      <c r="FG1" s="1059"/>
      <c r="FH1" s="1059"/>
      <c r="FI1" s="1059"/>
      <c r="FJ1" s="1059"/>
      <c r="FK1" s="1059"/>
      <c r="FL1" s="1059"/>
      <c r="FM1" s="1059"/>
      <c r="FN1" s="1059"/>
      <c r="FO1" s="1059"/>
      <c r="FP1" s="1059"/>
      <c r="FQ1" s="1059"/>
      <c r="FR1" s="1059"/>
      <c r="FS1" s="1059"/>
      <c r="FT1" s="1059"/>
      <c r="FU1" s="1059"/>
      <c r="FV1" s="1059"/>
      <c r="FW1" s="1059"/>
      <c r="FX1" s="1059"/>
      <c r="FY1" s="1059"/>
      <c r="FZ1" s="1059"/>
      <c r="GA1" s="1059"/>
      <c r="GB1" s="1059"/>
      <c r="GC1" s="1059"/>
      <c r="GD1" s="1059"/>
      <c r="GE1" s="1059"/>
      <c r="GF1" s="1059"/>
      <c r="GG1" s="1059"/>
      <c r="GH1" s="1059"/>
      <c r="GI1" s="1059"/>
      <c r="GJ1" s="1059"/>
      <c r="GK1" s="1059"/>
      <c r="GL1" s="1059"/>
      <c r="GM1" s="1059"/>
      <c r="GN1" s="1059"/>
      <c r="GO1" s="1059"/>
      <c r="GP1" s="1059"/>
      <c r="GQ1" s="1059"/>
      <c r="GR1" s="1059"/>
      <c r="GS1" s="1059"/>
      <c r="GT1" s="1059"/>
      <c r="GU1" s="1059"/>
      <c r="GV1" s="1059"/>
      <c r="GW1" s="1059"/>
      <c r="GX1" s="1059"/>
      <c r="GY1" s="1059"/>
      <c r="GZ1" s="1059"/>
      <c r="HA1" s="1059"/>
      <c r="HB1" s="1059"/>
      <c r="HC1" s="1059"/>
      <c r="HD1" s="1059"/>
      <c r="HE1" s="1059"/>
      <c r="HF1" s="1059"/>
      <c r="HG1" s="1059"/>
      <c r="HH1" s="1059"/>
      <c r="HI1" s="1059"/>
      <c r="HJ1" s="1059"/>
      <c r="HK1" s="1059"/>
      <c r="HL1" s="1059"/>
      <c r="HM1" s="1059"/>
      <c r="HN1" s="1059"/>
      <c r="HO1" s="1059"/>
      <c r="HP1" s="1060"/>
      <c r="HQ1" s="1060"/>
      <c r="HR1" s="1060"/>
      <c r="HS1" s="1060"/>
      <c r="HT1" s="1060"/>
      <c r="HU1" s="1060"/>
      <c r="HV1" s="1060"/>
      <c r="HW1" s="1060"/>
      <c r="HX1" s="1060"/>
      <c r="HY1" s="1060"/>
      <c r="HZ1" s="1060"/>
      <c r="IA1" s="1060"/>
      <c r="IB1" s="1060"/>
      <c r="IC1" s="1060"/>
      <c r="ID1" s="1060"/>
      <c r="IE1" s="1060"/>
      <c r="IF1" s="1060"/>
      <c r="IG1" s="1060"/>
      <c r="IH1" s="1060"/>
      <c r="II1" s="1060"/>
      <c r="IJ1" s="1060"/>
      <c r="IK1" s="1060"/>
      <c r="IL1" s="1060"/>
      <c r="IM1" s="1060"/>
      <c r="IN1" s="1060"/>
      <c r="IO1" s="1060"/>
      <c r="IP1" s="1060"/>
      <c r="IQ1" s="1060"/>
      <c r="IR1" s="1060"/>
      <c r="IS1" s="1060"/>
      <c r="IT1" s="1060"/>
      <c r="IU1" s="1060"/>
      <c r="IV1" s="1060"/>
    </row>
    <row r="2" s="1057" customFormat="1" ht="29.25" spans="1:256">
      <c r="A2" s="1062"/>
      <c r="B2" s="1062"/>
      <c r="C2" s="1062"/>
      <c r="D2" s="1062"/>
      <c r="E2" s="1062"/>
      <c r="F2" s="1062"/>
      <c r="G2" s="1063"/>
      <c r="H2" s="1063"/>
      <c r="I2" s="1063"/>
      <c r="J2" s="1063"/>
      <c r="K2" s="1063"/>
      <c r="L2" s="1063"/>
      <c r="M2" s="1063"/>
      <c r="N2" s="1063"/>
      <c r="O2" s="1063"/>
      <c r="P2" s="1063"/>
      <c r="Q2" s="1063"/>
      <c r="R2" s="1063"/>
      <c r="S2" s="1063"/>
      <c r="T2" s="1063"/>
      <c r="U2" s="1063"/>
      <c r="V2" s="1063"/>
      <c r="W2" s="1063"/>
      <c r="X2" s="1063"/>
      <c r="Y2" s="1063"/>
      <c r="Z2" s="1063"/>
      <c r="AA2" s="1063"/>
      <c r="AB2" s="1063"/>
      <c r="AC2" s="1063"/>
      <c r="AD2" s="1063"/>
      <c r="AE2" s="1063"/>
      <c r="AF2" s="1063"/>
      <c r="AG2" s="1063"/>
      <c r="AH2" s="1063"/>
      <c r="AI2" s="1063"/>
      <c r="AJ2" s="1063"/>
      <c r="AK2" s="1063"/>
      <c r="AL2" s="1063"/>
      <c r="AM2" s="1063"/>
      <c r="AN2" s="1063"/>
      <c r="AO2" s="1063"/>
      <c r="AP2" s="1063"/>
      <c r="AQ2" s="1063"/>
      <c r="AR2" s="1063"/>
      <c r="AS2" s="1063"/>
      <c r="AT2" s="1063"/>
      <c r="AU2" s="1063"/>
      <c r="AV2" s="1063"/>
      <c r="AW2" s="1063"/>
      <c r="AX2" s="1063"/>
      <c r="AY2" s="1063"/>
      <c r="AZ2" s="1063"/>
      <c r="BA2" s="1063"/>
      <c r="BB2" s="1063"/>
      <c r="BC2" s="1063"/>
      <c r="BD2" s="1063"/>
      <c r="BE2" s="1063"/>
      <c r="BF2" s="1063"/>
      <c r="BG2" s="1063"/>
      <c r="BH2" s="1063"/>
      <c r="BI2" s="1063"/>
      <c r="BJ2" s="1063"/>
      <c r="BK2" s="1063"/>
      <c r="BL2" s="1063"/>
      <c r="BM2" s="1063"/>
      <c r="BN2" s="1063"/>
      <c r="BO2" s="1063"/>
      <c r="BP2" s="1063"/>
      <c r="BQ2" s="1063"/>
      <c r="BR2" s="1063"/>
      <c r="BS2" s="1063"/>
      <c r="BT2" s="1063"/>
      <c r="BU2" s="1063"/>
      <c r="BV2" s="1063"/>
      <c r="BW2" s="1063"/>
      <c r="BX2" s="1063"/>
      <c r="BY2" s="1063"/>
      <c r="BZ2" s="1063"/>
      <c r="CA2" s="1063"/>
      <c r="CB2" s="1063"/>
      <c r="CC2" s="1063"/>
      <c r="CD2" s="1063"/>
      <c r="CE2" s="1063"/>
      <c r="CF2" s="1063"/>
      <c r="CG2" s="1063"/>
      <c r="CH2" s="1063"/>
      <c r="CI2" s="1063"/>
      <c r="CJ2" s="1063"/>
      <c r="CK2" s="1063"/>
      <c r="CL2" s="1063"/>
      <c r="CM2" s="1063"/>
      <c r="CN2" s="1063"/>
      <c r="CO2" s="1063"/>
      <c r="CP2" s="1063"/>
      <c r="CQ2" s="1063"/>
      <c r="CR2" s="1063"/>
      <c r="CS2" s="1063"/>
      <c r="CT2" s="1063"/>
      <c r="CU2" s="1063"/>
      <c r="CV2" s="1063"/>
      <c r="CW2" s="1063"/>
      <c r="CX2" s="1063"/>
      <c r="CY2" s="1063"/>
      <c r="CZ2" s="1063"/>
      <c r="DA2" s="1063"/>
      <c r="DB2" s="1063"/>
      <c r="DC2" s="1063"/>
      <c r="DD2" s="1063"/>
      <c r="DE2" s="1063"/>
      <c r="DF2" s="1063"/>
      <c r="DG2" s="1063"/>
      <c r="DH2" s="1063"/>
      <c r="DI2" s="1063"/>
      <c r="DJ2" s="1063"/>
      <c r="DK2" s="1063"/>
      <c r="DL2" s="1063"/>
      <c r="DM2" s="1063"/>
      <c r="DN2" s="1063"/>
      <c r="DO2" s="1063"/>
      <c r="DP2" s="1063"/>
      <c r="DQ2" s="1063"/>
      <c r="DR2" s="1063"/>
      <c r="DS2" s="1063"/>
      <c r="DT2" s="1063"/>
      <c r="DU2" s="1063"/>
      <c r="DV2" s="1063"/>
      <c r="DW2" s="1063"/>
      <c r="DX2" s="1063"/>
      <c r="DY2" s="1063"/>
      <c r="DZ2" s="1063"/>
      <c r="EA2" s="1063"/>
      <c r="EB2" s="1063"/>
      <c r="EC2" s="1063"/>
      <c r="ED2" s="1063"/>
      <c r="EE2" s="1063"/>
      <c r="EF2" s="1063"/>
      <c r="EG2" s="1063"/>
      <c r="EH2" s="1063"/>
      <c r="EI2" s="1063"/>
      <c r="EJ2" s="1063"/>
      <c r="EK2" s="1063"/>
      <c r="EL2" s="1063"/>
      <c r="EM2" s="1063"/>
      <c r="EN2" s="1063"/>
      <c r="EO2" s="1063"/>
      <c r="EP2" s="1063"/>
      <c r="EQ2" s="1063"/>
      <c r="ER2" s="1063"/>
      <c r="ES2" s="1063"/>
      <c r="ET2" s="1063"/>
      <c r="EU2" s="1063"/>
      <c r="EV2" s="1063"/>
      <c r="EW2" s="1063"/>
      <c r="EX2" s="1063"/>
      <c r="EY2" s="1063"/>
      <c r="EZ2" s="1063"/>
      <c r="FA2" s="1063"/>
      <c r="FB2" s="1063"/>
      <c r="FC2" s="1063"/>
      <c r="FD2" s="1063"/>
      <c r="FE2" s="1063"/>
      <c r="FF2" s="1063"/>
      <c r="FG2" s="1063"/>
      <c r="FH2" s="1063"/>
      <c r="FI2" s="1063"/>
      <c r="FJ2" s="1063"/>
      <c r="FK2" s="1063"/>
      <c r="FL2" s="1063"/>
      <c r="FM2" s="1063"/>
      <c r="FN2" s="1063"/>
      <c r="FO2" s="1063"/>
      <c r="FP2" s="1063"/>
      <c r="FQ2" s="1063"/>
      <c r="FR2" s="1063"/>
      <c r="FS2" s="1063"/>
      <c r="FT2" s="1063"/>
      <c r="FU2" s="1063"/>
      <c r="FV2" s="1063"/>
      <c r="FW2" s="1063"/>
      <c r="FX2" s="1063"/>
      <c r="FY2" s="1063"/>
      <c r="FZ2" s="1063"/>
      <c r="GA2" s="1063"/>
      <c r="GB2" s="1063"/>
      <c r="GC2" s="1063"/>
      <c r="GD2" s="1063"/>
      <c r="GE2" s="1063"/>
      <c r="GF2" s="1063"/>
      <c r="GG2" s="1063"/>
      <c r="GH2" s="1063"/>
      <c r="GI2" s="1063"/>
      <c r="GJ2" s="1063"/>
      <c r="GK2" s="1063"/>
      <c r="GL2" s="1063"/>
      <c r="GM2" s="1063"/>
      <c r="GN2" s="1063"/>
      <c r="GO2" s="1063"/>
      <c r="GP2" s="1063"/>
      <c r="GQ2" s="1063"/>
      <c r="GR2" s="1063"/>
      <c r="GS2" s="1063"/>
      <c r="GT2" s="1063"/>
      <c r="GU2" s="1063"/>
      <c r="GV2" s="1063"/>
      <c r="GW2" s="1063"/>
      <c r="GX2" s="1063"/>
      <c r="GY2" s="1063"/>
      <c r="GZ2" s="1063"/>
      <c r="HA2" s="1063"/>
      <c r="HB2" s="1063"/>
      <c r="HC2" s="1063"/>
      <c r="HD2" s="1063"/>
      <c r="HE2" s="1063"/>
      <c r="HF2" s="1063"/>
      <c r="HG2" s="1063"/>
      <c r="HH2" s="1063"/>
      <c r="HI2" s="1063"/>
      <c r="HJ2" s="1063"/>
      <c r="HK2" s="1063"/>
      <c r="HL2" s="1063"/>
      <c r="HM2" s="1063"/>
      <c r="HN2" s="1063"/>
      <c r="HO2" s="1063"/>
      <c r="HP2" s="1080"/>
      <c r="HQ2" s="1080"/>
      <c r="HR2" s="1080"/>
      <c r="HS2" s="1080"/>
      <c r="HT2" s="1080"/>
      <c r="HU2" s="1080"/>
      <c r="HV2" s="1080"/>
      <c r="HW2" s="1080"/>
      <c r="HX2" s="1080"/>
      <c r="HY2" s="1080"/>
      <c r="HZ2" s="1080"/>
      <c r="IA2" s="1080"/>
      <c r="IB2" s="1080"/>
      <c r="IC2" s="1080"/>
      <c r="ID2" s="1080"/>
      <c r="IE2" s="1080"/>
      <c r="IF2" s="1080"/>
      <c r="IG2" s="1080"/>
      <c r="IH2" s="1080"/>
      <c r="II2" s="1080"/>
      <c r="IJ2" s="1080"/>
      <c r="IK2" s="1080"/>
      <c r="IL2" s="1080"/>
      <c r="IM2" s="1080"/>
      <c r="IN2" s="1080"/>
      <c r="IO2" s="1080"/>
      <c r="IP2" s="1080"/>
      <c r="IQ2" s="1080"/>
      <c r="IR2" s="1080"/>
      <c r="IS2" s="1080"/>
      <c r="IT2" s="1080"/>
      <c r="IU2" s="1080"/>
      <c r="IV2" s="1080"/>
    </row>
    <row r="3" s="1058" customFormat="1" ht="23.1" customHeight="1" spans="1:256">
      <c r="A3" s="1064"/>
      <c r="B3" s="1065" t="s">
        <v>167</v>
      </c>
      <c r="C3" s="1066" t="str">
        <f>资产负债表!F3</f>
        <v>单位：元 </v>
      </c>
      <c r="D3" s="1066"/>
      <c r="E3" s="1066"/>
      <c r="F3" s="1066"/>
      <c r="G3" s="1059"/>
      <c r="H3" s="1059"/>
      <c r="I3" s="1059"/>
      <c r="J3" s="1059"/>
      <c r="K3" s="1059"/>
      <c r="L3" s="1059"/>
      <c r="M3" s="1059"/>
      <c r="N3" s="1059"/>
      <c r="O3" s="1059"/>
      <c r="P3" s="1059"/>
      <c r="Q3" s="1059"/>
      <c r="R3" s="1059"/>
      <c r="S3" s="1059"/>
      <c r="T3" s="1059"/>
      <c r="U3" s="1059"/>
      <c r="V3" s="1059"/>
      <c r="W3" s="1059"/>
      <c r="X3" s="1059"/>
      <c r="Y3" s="1059"/>
      <c r="Z3" s="1059"/>
      <c r="AA3" s="1059"/>
      <c r="AB3" s="1059"/>
      <c r="AC3" s="1059"/>
      <c r="AD3" s="1059"/>
      <c r="AE3" s="1059"/>
      <c r="AF3" s="1059"/>
      <c r="AG3" s="1059"/>
      <c r="AH3" s="1059"/>
      <c r="AI3" s="1059"/>
      <c r="AJ3" s="1059"/>
      <c r="AK3" s="1059"/>
      <c r="AL3" s="1059"/>
      <c r="AM3" s="1059"/>
      <c r="AN3" s="1059"/>
      <c r="AO3" s="1059"/>
      <c r="AP3" s="1059"/>
      <c r="AQ3" s="1059"/>
      <c r="AR3" s="1059"/>
      <c r="AS3" s="1059"/>
      <c r="AT3" s="1059"/>
      <c r="AU3" s="1059"/>
      <c r="AV3" s="1059"/>
      <c r="AW3" s="1059"/>
      <c r="AX3" s="1059"/>
      <c r="AY3" s="1059"/>
      <c r="AZ3" s="1059"/>
      <c r="BA3" s="1059"/>
      <c r="BB3" s="1059"/>
      <c r="BC3" s="1059"/>
      <c r="BD3" s="1059"/>
      <c r="BE3" s="1059"/>
      <c r="BF3" s="1059"/>
      <c r="BG3" s="1059"/>
      <c r="BH3" s="1059"/>
      <c r="BI3" s="1059"/>
      <c r="BJ3" s="1059"/>
      <c r="BK3" s="1059"/>
      <c r="BL3" s="1059"/>
      <c r="BM3" s="1059"/>
      <c r="BN3" s="1059"/>
      <c r="BO3" s="1059"/>
      <c r="BP3" s="1059"/>
      <c r="BQ3" s="1059"/>
      <c r="BR3" s="1059"/>
      <c r="BS3" s="1059"/>
      <c r="BT3" s="1059"/>
      <c r="BU3" s="1059"/>
      <c r="BV3" s="1059"/>
      <c r="BW3" s="1059"/>
      <c r="BX3" s="1059"/>
      <c r="BY3" s="1059"/>
      <c r="BZ3" s="1059"/>
      <c r="CA3" s="1059"/>
      <c r="CB3" s="1059"/>
      <c r="CC3" s="1059"/>
      <c r="CD3" s="1059"/>
      <c r="CE3" s="1059"/>
      <c r="CF3" s="1059"/>
      <c r="CG3" s="1059"/>
      <c r="CH3" s="1059"/>
      <c r="CI3" s="1059"/>
      <c r="CJ3" s="1059"/>
      <c r="CK3" s="1059"/>
      <c r="CL3" s="1059"/>
      <c r="CM3" s="1059"/>
      <c r="CN3" s="1059"/>
      <c r="CO3" s="1059"/>
      <c r="CP3" s="1059"/>
      <c r="CQ3" s="1059"/>
      <c r="CR3" s="1059"/>
      <c r="CS3" s="1059"/>
      <c r="CT3" s="1059"/>
      <c r="CU3" s="1059"/>
      <c r="CV3" s="1059"/>
      <c r="CW3" s="1059"/>
      <c r="CX3" s="1059"/>
      <c r="CY3" s="1059"/>
      <c r="CZ3" s="1059"/>
      <c r="DA3" s="1059"/>
      <c r="DB3" s="1059"/>
      <c r="DC3" s="1059"/>
      <c r="DD3" s="1059"/>
      <c r="DE3" s="1059"/>
      <c r="DF3" s="1059"/>
      <c r="DG3" s="1059"/>
      <c r="DH3" s="1059"/>
      <c r="DI3" s="1059"/>
      <c r="DJ3" s="1059"/>
      <c r="DK3" s="1059"/>
      <c r="DL3" s="1059"/>
      <c r="DM3" s="1059"/>
      <c r="DN3" s="1059"/>
      <c r="DO3" s="1059"/>
      <c r="DP3" s="1059"/>
      <c r="DQ3" s="1059"/>
      <c r="DR3" s="1059"/>
      <c r="DS3" s="1059"/>
      <c r="DT3" s="1059"/>
      <c r="DU3" s="1059"/>
      <c r="DV3" s="1059"/>
      <c r="DW3" s="1059"/>
      <c r="DX3" s="1059"/>
      <c r="DY3" s="1059"/>
      <c r="DZ3" s="1059"/>
      <c r="EA3" s="1059"/>
      <c r="EB3" s="1059"/>
      <c r="EC3" s="1059"/>
      <c r="ED3" s="1059"/>
      <c r="EE3" s="1059"/>
      <c r="EF3" s="1059"/>
      <c r="EG3" s="1059"/>
      <c r="EH3" s="1059"/>
      <c r="EI3" s="1059"/>
      <c r="EJ3" s="1059"/>
      <c r="EK3" s="1059"/>
      <c r="EL3" s="1059"/>
      <c r="EM3" s="1059"/>
      <c r="EN3" s="1059"/>
      <c r="EO3" s="1059"/>
      <c r="EP3" s="1059"/>
      <c r="EQ3" s="1059"/>
      <c r="ER3" s="1059"/>
      <c r="ES3" s="1059"/>
      <c r="ET3" s="1059"/>
      <c r="EU3" s="1059"/>
      <c r="EV3" s="1059"/>
      <c r="EW3" s="1059"/>
      <c r="EX3" s="1059"/>
      <c r="EY3" s="1059"/>
      <c r="EZ3" s="1059"/>
      <c r="FA3" s="1059"/>
      <c r="FB3" s="1059"/>
      <c r="FC3" s="1059"/>
      <c r="FD3" s="1059"/>
      <c r="FE3" s="1059"/>
      <c r="FF3" s="1059"/>
      <c r="FG3" s="1059"/>
      <c r="FH3" s="1059"/>
      <c r="FI3" s="1059"/>
      <c r="FJ3" s="1059"/>
      <c r="FK3" s="1059"/>
      <c r="FL3" s="1059"/>
      <c r="FM3" s="1059"/>
      <c r="FN3" s="1059"/>
      <c r="FO3" s="1059"/>
      <c r="FP3" s="1059"/>
      <c r="FQ3" s="1059"/>
      <c r="FR3" s="1059"/>
      <c r="FS3" s="1059"/>
      <c r="FT3" s="1059"/>
      <c r="FU3" s="1059"/>
      <c r="FV3" s="1059"/>
      <c r="FW3" s="1059"/>
      <c r="FX3" s="1059"/>
      <c r="FY3" s="1059"/>
      <c r="FZ3" s="1059"/>
      <c r="GA3" s="1059"/>
      <c r="GB3" s="1059"/>
      <c r="GC3" s="1059"/>
      <c r="GD3" s="1059"/>
      <c r="GE3" s="1059"/>
      <c r="GF3" s="1059"/>
      <c r="GG3" s="1059"/>
      <c r="GH3" s="1059"/>
      <c r="GI3" s="1059"/>
      <c r="GJ3" s="1059"/>
      <c r="GK3" s="1059"/>
      <c r="GL3" s="1059"/>
      <c r="GM3" s="1059"/>
      <c r="GN3" s="1059"/>
      <c r="GO3" s="1059"/>
      <c r="GP3" s="1059"/>
      <c r="GQ3" s="1059"/>
      <c r="GR3" s="1059"/>
      <c r="GS3" s="1059"/>
      <c r="GT3" s="1059"/>
      <c r="GU3" s="1059"/>
      <c r="GV3" s="1059"/>
      <c r="GW3" s="1059"/>
      <c r="GX3" s="1059"/>
      <c r="GY3" s="1059"/>
      <c r="GZ3" s="1059"/>
      <c r="HA3" s="1059"/>
      <c r="HB3" s="1059"/>
      <c r="HC3" s="1059"/>
      <c r="HD3" s="1059"/>
      <c r="HE3" s="1059"/>
      <c r="HF3" s="1059"/>
      <c r="HG3" s="1059"/>
      <c r="HH3" s="1059"/>
      <c r="HI3" s="1059"/>
      <c r="HJ3" s="1059"/>
      <c r="HK3" s="1059"/>
      <c r="HL3" s="1059"/>
      <c r="HM3" s="1059"/>
      <c r="HN3" s="1059"/>
      <c r="HO3" s="1059"/>
      <c r="HP3" s="1059"/>
      <c r="HQ3" s="1059"/>
      <c r="HR3" s="1059"/>
      <c r="HS3" s="1059"/>
      <c r="HT3" s="1059"/>
      <c r="HU3" s="1059"/>
      <c r="HV3" s="1059"/>
      <c r="HW3" s="1059"/>
      <c r="HX3" s="1059"/>
      <c r="HY3" s="1059"/>
      <c r="HZ3" s="1059"/>
      <c r="IA3" s="1059"/>
      <c r="IB3" s="1059"/>
      <c r="IC3" s="1059"/>
      <c r="ID3" s="1059"/>
      <c r="IE3" s="1059"/>
      <c r="IF3" s="1059"/>
      <c r="IG3" s="1059"/>
      <c r="IH3" s="1059"/>
      <c r="II3" s="1059"/>
      <c r="IJ3" s="1059"/>
      <c r="IK3" s="1059"/>
      <c r="IL3" s="1059"/>
      <c r="IM3" s="1059"/>
      <c r="IN3" s="1059"/>
      <c r="IO3" s="1059"/>
      <c r="IP3" s="1059"/>
      <c r="IQ3" s="1059"/>
      <c r="IR3" s="1059"/>
      <c r="IS3" s="1059"/>
      <c r="IT3" s="1059"/>
      <c r="IU3" s="1059"/>
      <c r="IV3" s="1059"/>
    </row>
    <row r="4" s="1058" customFormat="1" ht="16.5" spans="1:256">
      <c r="A4" s="1067" t="s">
        <v>168</v>
      </c>
      <c r="B4" s="1067" t="s">
        <v>169</v>
      </c>
      <c r="C4" s="1068" t="s">
        <v>170</v>
      </c>
      <c r="D4" s="1068" t="s">
        <v>171</v>
      </c>
      <c r="E4" s="1069" t="s">
        <v>172</v>
      </c>
      <c r="F4" s="1067" t="s">
        <v>173</v>
      </c>
      <c r="G4" s="1059"/>
      <c r="H4" s="1059"/>
      <c r="I4" s="1059"/>
      <c r="J4" s="1059"/>
      <c r="K4" s="1059"/>
      <c r="L4" s="1059"/>
      <c r="M4" s="1059"/>
      <c r="N4" s="1059"/>
      <c r="O4" s="1059"/>
      <c r="P4" s="1059"/>
      <c r="Q4" s="1059"/>
      <c r="R4" s="1059"/>
      <c r="S4" s="1059"/>
      <c r="T4" s="1059"/>
      <c r="U4" s="1059"/>
      <c r="V4" s="1059"/>
      <c r="W4" s="1059"/>
      <c r="X4" s="1059"/>
      <c r="Y4" s="1059"/>
      <c r="Z4" s="1059"/>
      <c r="AA4" s="1059"/>
      <c r="AB4" s="1059"/>
      <c r="AC4" s="1059"/>
      <c r="AD4" s="1059"/>
      <c r="AE4" s="1059"/>
      <c r="AF4" s="1059"/>
      <c r="AG4" s="1059"/>
      <c r="AH4" s="1059"/>
      <c r="AI4" s="1059"/>
      <c r="AJ4" s="1059"/>
      <c r="AK4" s="1059"/>
      <c r="AL4" s="1059"/>
      <c r="AM4" s="1059"/>
      <c r="AN4" s="1059"/>
      <c r="AO4" s="1059"/>
      <c r="AP4" s="1059"/>
      <c r="AQ4" s="1059"/>
      <c r="AR4" s="1059"/>
      <c r="AS4" s="1059"/>
      <c r="AT4" s="1059"/>
      <c r="AU4" s="1059"/>
      <c r="AV4" s="1059"/>
      <c r="AW4" s="1059"/>
      <c r="AX4" s="1059"/>
      <c r="AY4" s="1059"/>
      <c r="AZ4" s="1059"/>
      <c r="BA4" s="1059"/>
      <c r="BB4" s="1059"/>
      <c r="BC4" s="1059"/>
      <c r="BD4" s="1059"/>
      <c r="BE4" s="1059"/>
      <c r="BF4" s="1059"/>
      <c r="BG4" s="1059"/>
      <c r="BH4" s="1059"/>
      <c r="BI4" s="1059"/>
      <c r="BJ4" s="1059"/>
      <c r="BK4" s="1059"/>
      <c r="BL4" s="1059"/>
      <c r="BM4" s="1059"/>
      <c r="BN4" s="1059"/>
      <c r="BO4" s="1059"/>
      <c r="BP4" s="1059"/>
      <c r="BQ4" s="1059"/>
      <c r="BR4" s="1059"/>
      <c r="BS4" s="1059"/>
      <c r="BT4" s="1059"/>
      <c r="BU4" s="1059"/>
      <c r="BV4" s="1059"/>
      <c r="BW4" s="1059"/>
      <c r="BX4" s="1059"/>
      <c r="BY4" s="1059"/>
      <c r="BZ4" s="1059"/>
      <c r="CA4" s="1059"/>
      <c r="CB4" s="1059"/>
      <c r="CC4" s="1059"/>
      <c r="CD4" s="1059"/>
      <c r="CE4" s="1059"/>
      <c r="CF4" s="1059"/>
      <c r="CG4" s="1059"/>
      <c r="CH4" s="1059"/>
      <c r="CI4" s="1059"/>
      <c r="CJ4" s="1059"/>
      <c r="CK4" s="1059"/>
      <c r="CL4" s="1059"/>
      <c r="CM4" s="1059"/>
      <c r="CN4" s="1059"/>
      <c r="CO4" s="1059"/>
      <c r="CP4" s="1059"/>
      <c r="CQ4" s="1059"/>
      <c r="CR4" s="1059"/>
      <c r="CS4" s="1059"/>
      <c r="CT4" s="1059"/>
      <c r="CU4" s="1059"/>
      <c r="CV4" s="1059"/>
      <c r="CW4" s="1059"/>
      <c r="CX4" s="1059"/>
      <c r="CY4" s="1059"/>
      <c r="CZ4" s="1059"/>
      <c r="DA4" s="1059"/>
      <c r="DB4" s="1059"/>
      <c r="DC4" s="1059"/>
      <c r="DD4" s="1059"/>
      <c r="DE4" s="1059"/>
      <c r="DF4" s="1059"/>
      <c r="DG4" s="1059"/>
      <c r="DH4" s="1059"/>
      <c r="DI4" s="1059"/>
      <c r="DJ4" s="1059"/>
      <c r="DK4" s="1059"/>
      <c r="DL4" s="1059"/>
      <c r="DM4" s="1059"/>
      <c r="DN4" s="1059"/>
      <c r="DO4" s="1059"/>
      <c r="DP4" s="1059"/>
      <c r="DQ4" s="1059"/>
      <c r="DR4" s="1059"/>
      <c r="DS4" s="1059"/>
      <c r="DT4" s="1059"/>
      <c r="DU4" s="1059"/>
      <c r="DV4" s="1059"/>
      <c r="DW4" s="1059"/>
      <c r="DX4" s="1059"/>
      <c r="DY4" s="1059"/>
      <c r="DZ4" s="1059"/>
      <c r="EA4" s="1059"/>
      <c r="EB4" s="1059"/>
      <c r="EC4" s="1059"/>
      <c r="ED4" s="1059"/>
      <c r="EE4" s="1059"/>
      <c r="EF4" s="1059"/>
      <c r="EG4" s="1059"/>
      <c r="EH4" s="1059"/>
      <c r="EI4" s="1059"/>
      <c r="EJ4" s="1059"/>
      <c r="EK4" s="1059"/>
      <c r="EL4" s="1059"/>
      <c r="EM4" s="1059"/>
      <c r="EN4" s="1059"/>
      <c r="EO4" s="1059"/>
      <c r="EP4" s="1059"/>
      <c r="EQ4" s="1059"/>
      <c r="ER4" s="1059"/>
      <c r="ES4" s="1059"/>
      <c r="ET4" s="1059"/>
      <c r="EU4" s="1059"/>
      <c r="EV4" s="1059"/>
      <c r="EW4" s="1059"/>
      <c r="EX4" s="1059"/>
      <c r="EY4" s="1059"/>
      <c r="EZ4" s="1059"/>
      <c r="FA4" s="1059"/>
      <c r="FB4" s="1059"/>
      <c r="FC4" s="1059"/>
      <c r="FD4" s="1059"/>
      <c r="FE4" s="1059"/>
      <c r="FF4" s="1059"/>
      <c r="FG4" s="1059"/>
      <c r="FH4" s="1059"/>
      <c r="FI4" s="1059"/>
      <c r="FJ4" s="1059"/>
      <c r="FK4" s="1059"/>
      <c r="FL4" s="1059"/>
      <c r="FM4" s="1059"/>
      <c r="FN4" s="1059"/>
      <c r="FO4" s="1059"/>
      <c r="FP4" s="1059"/>
      <c r="FQ4" s="1059"/>
      <c r="FR4" s="1059"/>
      <c r="FS4" s="1059"/>
      <c r="FT4" s="1059"/>
      <c r="FU4" s="1059"/>
      <c r="FV4" s="1059"/>
      <c r="FW4" s="1059"/>
      <c r="FX4" s="1059"/>
      <c r="FY4" s="1059"/>
      <c r="FZ4" s="1059"/>
      <c r="GA4" s="1059"/>
      <c r="GB4" s="1059"/>
      <c r="GC4" s="1059"/>
      <c r="GD4" s="1059"/>
      <c r="GE4" s="1059"/>
      <c r="GF4" s="1059"/>
      <c r="GG4" s="1059"/>
      <c r="GH4" s="1059"/>
      <c r="GI4" s="1059"/>
      <c r="GJ4" s="1059"/>
      <c r="GK4" s="1059"/>
      <c r="GL4" s="1059"/>
      <c r="GM4" s="1059"/>
      <c r="GN4" s="1059"/>
      <c r="GO4" s="1059"/>
      <c r="GP4" s="1059"/>
      <c r="GQ4" s="1059"/>
      <c r="GR4" s="1059"/>
      <c r="GS4" s="1059"/>
      <c r="GT4" s="1059"/>
      <c r="GU4" s="1059"/>
      <c r="GV4" s="1059"/>
      <c r="GW4" s="1059"/>
      <c r="GX4" s="1059"/>
      <c r="GY4" s="1059"/>
      <c r="GZ4" s="1059"/>
      <c r="HA4" s="1059"/>
      <c r="HB4" s="1059"/>
      <c r="HC4" s="1059"/>
      <c r="HD4" s="1059"/>
      <c r="HE4" s="1059"/>
      <c r="HF4" s="1059"/>
      <c r="HG4" s="1059"/>
      <c r="HH4" s="1059"/>
      <c r="HI4" s="1059"/>
      <c r="HJ4" s="1059"/>
      <c r="HK4" s="1059"/>
      <c r="HL4" s="1059"/>
      <c r="HM4" s="1059"/>
      <c r="HN4" s="1059"/>
      <c r="HO4" s="1059"/>
      <c r="HP4" s="1059"/>
      <c r="HQ4" s="1059"/>
      <c r="HR4" s="1059"/>
      <c r="HS4" s="1059"/>
      <c r="HT4" s="1059"/>
      <c r="HU4" s="1059"/>
      <c r="HV4" s="1059"/>
      <c r="HW4" s="1059"/>
      <c r="HX4" s="1059"/>
      <c r="HY4" s="1059"/>
      <c r="HZ4" s="1059"/>
      <c r="IA4" s="1059"/>
      <c r="IB4" s="1059"/>
      <c r="IC4" s="1059"/>
      <c r="ID4" s="1059"/>
      <c r="IE4" s="1059"/>
      <c r="IF4" s="1059"/>
      <c r="IG4" s="1059"/>
      <c r="IH4" s="1059"/>
      <c r="II4" s="1059"/>
      <c r="IJ4" s="1059"/>
      <c r="IK4" s="1059"/>
      <c r="IL4" s="1059"/>
      <c r="IM4" s="1059"/>
      <c r="IN4" s="1059"/>
      <c r="IO4" s="1059"/>
      <c r="IP4" s="1059"/>
      <c r="IQ4" s="1059"/>
      <c r="IR4" s="1059"/>
      <c r="IS4" s="1059"/>
      <c r="IT4" s="1059"/>
      <c r="IU4" s="1059"/>
      <c r="IV4" s="1059"/>
    </row>
    <row r="5" s="1058" customFormat="1" ht="16.5" spans="1:256">
      <c r="A5" s="1070" t="s">
        <v>174</v>
      </c>
      <c r="B5" s="1071">
        <v>300000</v>
      </c>
      <c r="C5" s="1072">
        <v>160000</v>
      </c>
      <c r="D5" s="1073">
        <f t="shared" ref="D5:D11" si="0">B5/$B$5</f>
        <v>1</v>
      </c>
      <c r="E5" s="1074">
        <f t="shared" ref="E5:E11" si="1">C5/$C$5</f>
        <v>1</v>
      </c>
      <c r="F5" s="1073">
        <f>(B5-C5)/C5</f>
        <v>0.875</v>
      </c>
      <c r="G5" s="1059"/>
      <c r="H5" s="1059"/>
      <c r="I5" s="1059"/>
      <c r="J5" s="1059"/>
      <c r="K5" s="1059"/>
      <c r="L5" s="1059"/>
      <c r="M5" s="1059"/>
      <c r="N5" s="1059"/>
      <c r="O5" s="1059"/>
      <c r="P5" s="1059"/>
      <c r="Q5" s="1059"/>
      <c r="R5" s="1059"/>
      <c r="S5" s="1059"/>
      <c r="T5" s="1059"/>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c r="AT5" s="1059"/>
      <c r="AU5" s="1059"/>
      <c r="AV5" s="1059"/>
      <c r="AW5" s="1059"/>
      <c r="AX5" s="1059"/>
      <c r="AY5" s="1059"/>
      <c r="AZ5" s="1059"/>
      <c r="BA5" s="1059"/>
      <c r="BB5" s="1059"/>
      <c r="BC5" s="1059"/>
      <c r="BD5" s="1059"/>
      <c r="BE5" s="1059"/>
      <c r="BF5" s="1059"/>
      <c r="BG5" s="1059"/>
      <c r="BH5" s="1059"/>
      <c r="BI5" s="1059"/>
      <c r="BJ5" s="1059"/>
      <c r="BK5" s="1059"/>
      <c r="BL5" s="1059"/>
      <c r="BM5" s="1059"/>
      <c r="BN5" s="1059"/>
      <c r="BO5" s="1059"/>
      <c r="BP5" s="1059"/>
      <c r="BQ5" s="1059"/>
      <c r="BR5" s="1059"/>
      <c r="BS5" s="1059"/>
      <c r="BT5" s="1059"/>
      <c r="BU5" s="1059"/>
      <c r="BV5" s="1059"/>
      <c r="BW5" s="1059"/>
      <c r="BX5" s="1059"/>
      <c r="BY5" s="1059"/>
      <c r="BZ5" s="1059"/>
      <c r="CA5" s="1059"/>
      <c r="CB5" s="1059"/>
      <c r="CC5" s="1059"/>
      <c r="CD5" s="1059"/>
      <c r="CE5" s="1059"/>
      <c r="CF5" s="1059"/>
      <c r="CG5" s="1059"/>
      <c r="CH5" s="1059"/>
      <c r="CI5" s="1059"/>
      <c r="CJ5" s="1059"/>
      <c r="CK5" s="1059"/>
      <c r="CL5" s="1059"/>
      <c r="CM5" s="1059"/>
      <c r="CN5" s="1059"/>
      <c r="CO5" s="1059"/>
      <c r="CP5" s="1059"/>
      <c r="CQ5" s="1059"/>
      <c r="CR5" s="1059"/>
      <c r="CS5" s="1059"/>
      <c r="CT5" s="1059"/>
      <c r="CU5" s="1059"/>
      <c r="CV5" s="1059"/>
      <c r="CW5" s="1059"/>
      <c r="CX5" s="1059"/>
      <c r="CY5" s="1059"/>
      <c r="CZ5" s="1059"/>
      <c r="DA5" s="1059"/>
      <c r="DB5" s="1059"/>
      <c r="DC5" s="1059"/>
      <c r="DD5" s="1059"/>
      <c r="DE5" s="1059"/>
      <c r="DF5" s="1059"/>
      <c r="DG5" s="1059"/>
      <c r="DH5" s="1059"/>
      <c r="DI5" s="1059"/>
      <c r="DJ5" s="1059"/>
      <c r="DK5" s="1059"/>
      <c r="DL5" s="1059"/>
      <c r="DM5" s="1059"/>
      <c r="DN5" s="1059"/>
      <c r="DO5" s="1059"/>
      <c r="DP5" s="1059"/>
      <c r="DQ5" s="1059"/>
      <c r="DR5" s="1059"/>
      <c r="DS5" s="1059"/>
      <c r="DT5" s="1059"/>
      <c r="DU5" s="1059"/>
      <c r="DV5" s="1059"/>
      <c r="DW5" s="1059"/>
      <c r="DX5" s="1059"/>
      <c r="DY5" s="1059"/>
      <c r="DZ5" s="1059"/>
      <c r="EA5" s="1059"/>
      <c r="EB5" s="1059"/>
      <c r="EC5" s="1059"/>
      <c r="ED5" s="1059"/>
      <c r="EE5" s="1059"/>
      <c r="EF5" s="1059"/>
      <c r="EG5" s="1059"/>
      <c r="EH5" s="1059"/>
      <c r="EI5" s="1059"/>
      <c r="EJ5" s="1059"/>
      <c r="EK5" s="1059"/>
      <c r="EL5" s="1059"/>
      <c r="EM5" s="1059"/>
      <c r="EN5" s="1059"/>
      <c r="EO5" s="1059"/>
      <c r="EP5" s="1059"/>
      <c r="EQ5" s="1059"/>
      <c r="ER5" s="1059"/>
      <c r="ES5" s="1059"/>
      <c r="ET5" s="1059"/>
      <c r="EU5" s="1059"/>
      <c r="EV5" s="1059"/>
      <c r="EW5" s="1059"/>
      <c r="EX5" s="1059"/>
      <c r="EY5" s="1059"/>
      <c r="EZ5" s="1059"/>
      <c r="FA5" s="1059"/>
      <c r="FB5" s="1059"/>
      <c r="FC5" s="1059"/>
      <c r="FD5" s="1059"/>
      <c r="FE5" s="1059"/>
      <c r="FF5" s="1059"/>
      <c r="FG5" s="1059"/>
      <c r="FH5" s="1059"/>
      <c r="FI5" s="1059"/>
      <c r="FJ5" s="1059"/>
      <c r="FK5" s="1059"/>
      <c r="FL5" s="1059"/>
      <c r="FM5" s="1059"/>
      <c r="FN5" s="1059"/>
      <c r="FO5" s="1059"/>
      <c r="FP5" s="1059"/>
      <c r="FQ5" s="1059"/>
      <c r="FR5" s="1059"/>
      <c r="FS5" s="1059"/>
      <c r="FT5" s="1059"/>
      <c r="FU5" s="1059"/>
      <c r="FV5" s="1059"/>
      <c r="FW5" s="1059"/>
      <c r="FX5" s="1059"/>
      <c r="FY5" s="1059"/>
      <c r="FZ5" s="1059"/>
      <c r="GA5" s="1059"/>
      <c r="GB5" s="1059"/>
      <c r="GC5" s="1059"/>
      <c r="GD5" s="1059"/>
      <c r="GE5" s="1059"/>
      <c r="GF5" s="1059"/>
      <c r="GG5" s="1059"/>
      <c r="GH5" s="1059"/>
      <c r="GI5" s="1059"/>
      <c r="GJ5" s="1059"/>
      <c r="GK5" s="1059"/>
      <c r="GL5" s="1059"/>
      <c r="GM5" s="1059"/>
      <c r="GN5" s="1059"/>
      <c r="GO5" s="1059"/>
      <c r="GP5" s="1059"/>
      <c r="GQ5" s="1059"/>
      <c r="GR5" s="1059"/>
      <c r="GS5" s="1059"/>
      <c r="GT5" s="1059"/>
      <c r="GU5" s="1059"/>
      <c r="GV5" s="1059"/>
      <c r="GW5" s="1059"/>
      <c r="GX5" s="1059"/>
      <c r="GY5" s="1059"/>
      <c r="GZ5" s="1059"/>
      <c r="HA5" s="1059"/>
      <c r="HB5" s="1059"/>
      <c r="HC5" s="1059"/>
      <c r="HD5" s="1059"/>
      <c r="HE5" s="1059"/>
      <c r="HF5" s="1059"/>
      <c r="HG5" s="1059"/>
      <c r="HH5" s="1059"/>
      <c r="HI5" s="1059"/>
      <c r="HJ5" s="1059"/>
      <c r="HK5" s="1059"/>
      <c r="HL5" s="1059"/>
      <c r="HM5" s="1059"/>
      <c r="HN5" s="1059"/>
      <c r="HO5" s="1059"/>
      <c r="HP5" s="1059"/>
      <c r="HQ5" s="1059"/>
      <c r="HR5" s="1059"/>
      <c r="HS5" s="1059"/>
      <c r="HT5" s="1059"/>
      <c r="HU5" s="1059"/>
      <c r="HV5" s="1059"/>
      <c r="HW5" s="1059"/>
      <c r="HX5" s="1059"/>
      <c r="HY5" s="1059"/>
      <c r="HZ5" s="1059"/>
      <c r="IA5" s="1059"/>
      <c r="IB5" s="1059"/>
      <c r="IC5" s="1059"/>
      <c r="ID5" s="1059"/>
      <c r="IE5" s="1059"/>
      <c r="IF5" s="1059"/>
      <c r="IG5" s="1059"/>
      <c r="IH5" s="1059"/>
      <c r="II5" s="1059"/>
      <c r="IJ5" s="1059"/>
      <c r="IK5" s="1059"/>
      <c r="IL5" s="1059"/>
      <c r="IM5" s="1059"/>
      <c r="IN5" s="1059"/>
      <c r="IO5" s="1059"/>
      <c r="IP5" s="1059"/>
      <c r="IQ5" s="1059"/>
      <c r="IR5" s="1059"/>
      <c r="IS5" s="1059"/>
      <c r="IT5" s="1059"/>
      <c r="IU5" s="1059"/>
      <c r="IV5" s="1059"/>
    </row>
    <row r="6" s="1058" customFormat="1" ht="16.5" spans="1:256">
      <c r="A6" s="1075" t="s">
        <v>175</v>
      </c>
      <c r="B6" s="1071">
        <v>55552</v>
      </c>
      <c r="C6" s="1072">
        <v>34441</v>
      </c>
      <c r="D6" s="1073">
        <f t="shared" si="0"/>
        <v>0.185173333333333</v>
      </c>
      <c r="E6" s="1074">
        <f t="shared" si="1"/>
        <v>0.21525625</v>
      </c>
      <c r="F6" s="1073">
        <f t="shared" ref="F6:F21" si="2">D6-E6</f>
        <v>-0.0300829166666667</v>
      </c>
      <c r="G6" s="1059"/>
      <c r="H6" s="1059"/>
      <c r="I6" s="1059"/>
      <c r="J6" s="1059"/>
      <c r="K6" s="1059"/>
      <c r="L6" s="1059"/>
      <c r="M6" s="1059"/>
      <c r="N6" s="1059"/>
      <c r="O6" s="1059"/>
      <c r="P6" s="1059"/>
      <c r="Q6" s="1059"/>
      <c r="R6" s="1059"/>
      <c r="S6" s="1059"/>
      <c r="T6" s="1059"/>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c r="AT6" s="1059"/>
      <c r="AU6" s="1059"/>
      <c r="AV6" s="1059"/>
      <c r="AW6" s="1059"/>
      <c r="AX6" s="1059"/>
      <c r="AY6" s="1059"/>
      <c r="AZ6" s="1059"/>
      <c r="BA6" s="1059"/>
      <c r="BB6" s="1059"/>
      <c r="BC6" s="1059"/>
      <c r="BD6" s="1059"/>
      <c r="BE6" s="1059"/>
      <c r="BF6" s="1059"/>
      <c r="BG6" s="1059"/>
      <c r="BH6" s="1059"/>
      <c r="BI6" s="1059"/>
      <c r="BJ6" s="1059"/>
      <c r="BK6" s="1059"/>
      <c r="BL6" s="1059"/>
      <c r="BM6" s="1059"/>
      <c r="BN6" s="1059"/>
      <c r="BO6" s="1059"/>
      <c r="BP6" s="1059"/>
      <c r="BQ6" s="1059"/>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c r="CU6" s="1059"/>
      <c r="CV6" s="1059"/>
      <c r="CW6" s="1059"/>
      <c r="CX6" s="1059"/>
      <c r="CY6" s="1059"/>
      <c r="CZ6" s="1059"/>
      <c r="DA6" s="1059"/>
      <c r="DB6" s="1059"/>
      <c r="DC6" s="1059"/>
      <c r="DD6" s="1059"/>
      <c r="DE6" s="1059"/>
      <c r="DF6" s="1059"/>
      <c r="DG6" s="1059"/>
      <c r="DH6" s="1059"/>
      <c r="DI6" s="1059"/>
      <c r="DJ6" s="1059"/>
      <c r="DK6" s="1059"/>
      <c r="DL6" s="1059"/>
      <c r="DM6" s="1059"/>
      <c r="DN6" s="1059"/>
      <c r="DO6" s="1059"/>
      <c r="DP6" s="1059"/>
      <c r="DQ6" s="1059"/>
      <c r="DR6" s="1059"/>
      <c r="DS6" s="1059"/>
      <c r="DT6" s="1059"/>
      <c r="DU6" s="1059"/>
      <c r="DV6" s="1059"/>
      <c r="DW6" s="1059"/>
      <c r="DX6" s="1059"/>
      <c r="DY6" s="1059"/>
      <c r="DZ6" s="1059"/>
      <c r="EA6" s="1059"/>
      <c r="EB6" s="1059"/>
      <c r="EC6" s="1059"/>
      <c r="ED6" s="1059"/>
      <c r="EE6" s="1059"/>
      <c r="EF6" s="1059"/>
      <c r="EG6" s="1059"/>
      <c r="EH6" s="1059"/>
      <c r="EI6" s="1059"/>
      <c r="EJ6" s="1059"/>
      <c r="EK6" s="1059"/>
      <c r="EL6" s="1059"/>
      <c r="EM6" s="1059"/>
      <c r="EN6" s="1059"/>
      <c r="EO6" s="1059"/>
      <c r="EP6" s="1059"/>
      <c r="EQ6" s="1059"/>
      <c r="ER6" s="1059"/>
      <c r="ES6" s="1059"/>
      <c r="ET6" s="1059"/>
      <c r="EU6" s="1059"/>
      <c r="EV6" s="1059"/>
      <c r="EW6" s="1059"/>
      <c r="EX6" s="1059"/>
      <c r="EY6" s="1059"/>
      <c r="EZ6" s="1059"/>
      <c r="FA6" s="1059"/>
      <c r="FB6" s="1059"/>
      <c r="FC6" s="1059"/>
      <c r="FD6" s="1059"/>
      <c r="FE6" s="1059"/>
      <c r="FF6" s="1059"/>
      <c r="FG6" s="1059"/>
      <c r="FH6" s="1059"/>
      <c r="FI6" s="1059"/>
      <c r="FJ6" s="1059"/>
      <c r="FK6" s="1059"/>
      <c r="FL6" s="1059"/>
      <c r="FM6" s="1059"/>
      <c r="FN6" s="1059"/>
      <c r="FO6" s="1059"/>
      <c r="FP6" s="1059"/>
      <c r="FQ6" s="1059"/>
      <c r="FR6" s="1059"/>
      <c r="FS6" s="1059"/>
      <c r="FT6" s="1059"/>
      <c r="FU6" s="1059"/>
      <c r="FV6" s="1059"/>
      <c r="FW6" s="1059"/>
      <c r="FX6" s="1059"/>
      <c r="FY6" s="1059"/>
      <c r="FZ6" s="1059"/>
      <c r="GA6" s="1059"/>
      <c r="GB6" s="1059"/>
      <c r="GC6" s="1059"/>
      <c r="GD6" s="1059"/>
      <c r="GE6" s="1059"/>
      <c r="GF6" s="1059"/>
      <c r="GG6" s="1059"/>
      <c r="GH6" s="1059"/>
      <c r="GI6" s="1059"/>
      <c r="GJ6" s="1059"/>
      <c r="GK6" s="1059"/>
      <c r="GL6" s="1059"/>
      <c r="GM6" s="1059"/>
      <c r="GN6" s="1059"/>
      <c r="GO6" s="1059"/>
      <c r="GP6" s="1059"/>
      <c r="GQ6" s="1059"/>
      <c r="GR6" s="1059"/>
      <c r="GS6" s="1059"/>
      <c r="GT6" s="1059"/>
      <c r="GU6" s="1059"/>
      <c r="GV6" s="1059"/>
      <c r="GW6" s="1059"/>
      <c r="GX6" s="1059"/>
      <c r="GY6" s="1059"/>
      <c r="GZ6" s="1059"/>
      <c r="HA6" s="1059"/>
      <c r="HB6" s="1059"/>
      <c r="HC6" s="1059"/>
      <c r="HD6" s="1059"/>
      <c r="HE6" s="1059"/>
      <c r="HF6" s="1059"/>
      <c r="HG6" s="1059"/>
      <c r="HH6" s="1059"/>
      <c r="HI6" s="1059"/>
      <c r="HJ6" s="1059"/>
      <c r="HK6" s="1059"/>
      <c r="HL6" s="1059"/>
      <c r="HM6" s="1059"/>
      <c r="HN6" s="1059"/>
      <c r="HO6" s="1059"/>
      <c r="HP6" s="1059"/>
      <c r="HQ6" s="1059"/>
      <c r="HR6" s="1059"/>
      <c r="HS6" s="1059"/>
      <c r="HT6" s="1059"/>
      <c r="HU6" s="1059"/>
      <c r="HV6" s="1059"/>
      <c r="HW6" s="1059"/>
      <c r="HX6" s="1059"/>
      <c r="HY6" s="1059"/>
      <c r="HZ6" s="1059"/>
      <c r="IA6" s="1059"/>
      <c r="IB6" s="1059"/>
      <c r="IC6" s="1059"/>
      <c r="ID6" s="1059"/>
      <c r="IE6" s="1059"/>
      <c r="IF6" s="1059"/>
      <c r="IG6" s="1059"/>
      <c r="IH6" s="1059"/>
      <c r="II6" s="1059"/>
      <c r="IJ6" s="1059"/>
      <c r="IK6" s="1059"/>
      <c r="IL6" s="1059"/>
      <c r="IM6" s="1059"/>
      <c r="IN6" s="1059"/>
      <c r="IO6" s="1059"/>
      <c r="IP6" s="1059"/>
      <c r="IQ6" s="1059"/>
      <c r="IR6" s="1059"/>
      <c r="IS6" s="1059"/>
      <c r="IT6" s="1059"/>
      <c r="IU6" s="1059"/>
      <c r="IV6" s="1059"/>
    </row>
    <row r="7" s="1058" customFormat="1" ht="16.5" spans="1:256">
      <c r="A7" s="1075" t="s">
        <v>176</v>
      </c>
      <c r="B7" s="1071">
        <v>1334</v>
      </c>
      <c r="C7" s="1072">
        <v>424</v>
      </c>
      <c r="D7" s="1073">
        <f t="shared" si="0"/>
        <v>0.00444666666666667</v>
      </c>
      <c r="E7" s="1074">
        <f t="shared" si="1"/>
        <v>0.00265</v>
      </c>
      <c r="F7" s="1073">
        <f t="shared" si="2"/>
        <v>0.00179666666666667</v>
      </c>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c r="BO7" s="1059"/>
      <c r="BP7" s="1059"/>
      <c r="BQ7" s="1059"/>
      <c r="BR7" s="1059"/>
      <c r="BS7" s="1059"/>
      <c r="BT7" s="1059"/>
      <c r="BU7" s="1059"/>
      <c r="BV7" s="1059"/>
      <c r="BW7" s="1059"/>
      <c r="BX7" s="1059"/>
      <c r="BY7" s="1059"/>
      <c r="BZ7" s="1059"/>
      <c r="CA7" s="1059"/>
      <c r="CB7" s="1059"/>
      <c r="CC7" s="1059"/>
      <c r="CD7" s="1059"/>
      <c r="CE7" s="1059"/>
      <c r="CF7" s="1059"/>
      <c r="CG7" s="1059"/>
      <c r="CH7" s="1059"/>
      <c r="CI7" s="1059"/>
      <c r="CJ7" s="1059"/>
      <c r="CK7" s="1059"/>
      <c r="CL7" s="1059"/>
      <c r="CM7" s="1059"/>
      <c r="CN7" s="1059"/>
      <c r="CO7" s="1059"/>
      <c r="CP7" s="1059"/>
      <c r="CQ7" s="1059"/>
      <c r="CR7" s="1059"/>
      <c r="CS7" s="1059"/>
      <c r="CT7" s="1059"/>
      <c r="CU7" s="1059"/>
      <c r="CV7" s="1059"/>
      <c r="CW7" s="1059"/>
      <c r="CX7" s="1059"/>
      <c r="CY7" s="1059"/>
      <c r="CZ7" s="1059"/>
      <c r="DA7" s="1059"/>
      <c r="DB7" s="1059"/>
      <c r="DC7" s="1059"/>
      <c r="DD7" s="1059"/>
      <c r="DE7" s="1059"/>
      <c r="DF7" s="1059"/>
      <c r="DG7" s="1059"/>
      <c r="DH7" s="1059"/>
      <c r="DI7" s="1059"/>
      <c r="DJ7" s="1059"/>
      <c r="DK7" s="1059"/>
      <c r="DL7" s="1059"/>
      <c r="DM7" s="1059"/>
      <c r="DN7" s="1059"/>
      <c r="DO7" s="1059"/>
      <c r="DP7" s="1059"/>
      <c r="DQ7" s="1059"/>
      <c r="DR7" s="1059"/>
      <c r="DS7" s="1059"/>
      <c r="DT7" s="1059"/>
      <c r="DU7" s="1059"/>
      <c r="DV7" s="1059"/>
      <c r="DW7" s="1059"/>
      <c r="DX7" s="1059"/>
      <c r="DY7" s="1059"/>
      <c r="DZ7" s="1059"/>
      <c r="EA7" s="1059"/>
      <c r="EB7" s="1059"/>
      <c r="EC7" s="1059"/>
      <c r="ED7" s="1059"/>
      <c r="EE7" s="1059"/>
      <c r="EF7" s="1059"/>
      <c r="EG7" s="1059"/>
      <c r="EH7" s="1059"/>
      <c r="EI7" s="1059"/>
      <c r="EJ7" s="1059"/>
      <c r="EK7" s="1059"/>
      <c r="EL7" s="1059"/>
      <c r="EM7" s="1059"/>
      <c r="EN7" s="1059"/>
      <c r="EO7" s="1059"/>
      <c r="EP7" s="1059"/>
      <c r="EQ7" s="1059"/>
      <c r="ER7" s="1059"/>
      <c r="ES7" s="1059"/>
      <c r="ET7" s="1059"/>
      <c r="EU7" s="1059"/>
      <c r="EV7" s="1059"/>
      <c r="EW7" s="1059"/>
      <c r="EX7" s="1059"/>
      <c r="EY7" s="1059"/>
      <c r="EZ7" s="1059"/>
      <c r="FA7" s="1059"/>
      <c r="FB7" s="1059"/>
      <c r="FC7" s="1059"/>
      <c r="FD7" s="1059"/>
      <c r="FE7" s="1059"/>
      <c r="FF7" s="1059"/>
      <c r="FG7" s="1059"/>
      <c r="FH7" s="1059"/>
      <c r="FI7" s="1059"/>
      <c r="FJ7" s="1059"/>
      <c r="FK7" s="1059"/>
      <c r="FL7" s="1059"/>
      <c r="FM7" s="1059"/>
      <c r="FN7" s="1059"/>
      <c r="FO7" s="1059"/>
      <c r="FP7" s="1059"/>
      <c r="FQ7" s="1059"/>
      <c r="FR7" s="1059"/>
      <c r="FS7" s="1059"/>
      <c r="FT7" s="1059"/>
      <c r="FU7" s="1059"/>
      <c r="FV7" s="1059"/>
      <c r="FW7" s="1059"/>
      <c r="FX7" s="1059"/>
      <c r="FY7" s="1059"/>
      <c r="FZ7" s="1059"/>
      <c r="GA7" s="1059"/>
      <c r="GB7" s="1059"/>
      <c r="GC7" s="1059"/>
      <c r="GD7" s="1059"/>
      <c r="GE7" s="1059"/>
      <c r="GF7" s="1059"/>
      <c r="GG7" s="1059"/>
      <c r="GH7" s="1059"/>
      <c r="GI7" s="1059"/>
      <c r="GJ7" s="1059"/>
      <c r="GK7" s="1059"/>
      <c r="GL7" s="1059"/>
      <c r="GM7" s="1059"/>
      <c r="GN7" s="1059"/>
      <c r="GO7" s="1059"/>
      <c r="GP7" s="1059"/>
      <c r="GQ7" s="1059"/>
      <c r="GR7" s="1059"/>
      <c r="GS7" s="1059"/>
      <c r="GT7" s="1059"/>
      <c r="GU7" s="1059"/>
      <c r="GV7" s="1059"/>
      <c r="GW7" s="1059"/>
      <c r="GX7" s="1059"/>
      <c r="GY7" s="1059"/>
      <c r="GZ7" s="1059"/>
      <c r="HA7" s="1059"/>
      <c r="HB7" s="1059"/>
      <c r="HC7" s="1059"/>
      <c r="HD7" s="1059"/>
      <c r="HE7" s="1059"/>
      <c r="HF7" s="1059"/>
      <c r="HG7" s="1059"/>
      <c r="HH7" s="1059"/>
      <c r="HI7" s="1059"/>
      <c r="HJ7" s="1059"/>
      <c r="HK7" s="1059"/>
      <c r="HL7" s="1059"/>
      <c r="HM7" s="1059"/>
      <c r="HN7" s="1059"/>
      <c r="HO7" s="1059"/>
      <c r="HP7" s="1059"/>
      <c r="HQ7" s="1059"/>
      <c r="HR7" s="1059"/>
      <c r="HS7" s="1059"/>
      <c r="HT7" s="1059"/>
      <c r="HU7" s="1059"/>
      <c r="HV7" s="1059"/>
      <c r="HW7" s="1059"/>
      <c r="HX7" s="1059"/>
      <c r="HY7" s="1059"/>
      <c r="HZ7" s="1059"/>
      <c r="IA7" s="1059"/>
      <c r="IB7" s="1059"/>
      <c r="IC7" s="1059"/>
      <c r="ID7" s="1059"/>
      <c r="IE7" s="1059"/>
      <c r="IF7" s="1059"/>
      <c r="IG7" s="1059"/>
      <c r="IH7" s="1059"/>
      <c r="II7" s="1059"/>
      <c r="IJ7" s="1059"/>
      <c r="IK7" s="1059"/>
      <c r="IL7" s="1059"/>
      <c r="IM7" s="1059"/>
      <c r="IN7" s="1059"/>
      <c r="IO7" s="1059"/>
      <c r="IP7" s="1059"/>
      <c r="IQ7" s="1059"/>
      <c r="IR7" s="1059"/>
      <c r="IS7" s="1059"/>
      <c r="IT7" s="1059"/>
      <c r="IU7" s="1059"/>
      <c r="IV7" s="1059"/>
    </row>
    <row r="8" s="1058" customFormat="1" ht="16.5" spans="1:256">
      <c r="A8" s="1075" t="s">
        <v>177</v>
      </c>
      <c r="B8" s="1071">
        <v>34111</v>
      </c>
      <c r="C8" s="1072">
        <v>13411</v>
      </c>
      <c r="D8" s="1073">
        <f t="shared" si="0"/>
        <v>0.113703333333333</v>
      </c>
      <c r="E8" s="1074">
        <f t="shared" si="1"/>
        <v>0.08381875</v>
      </c>
      <c r="F8" s="1073">
        <f t="shared" si="2"/>
        <v>0.0298845833333333</v>
      </c>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c r="AT8" s="1059"/>
      <c r="AU8" s="1059"/>
      <c r="AV8" s="1059"/>
      <c r="AW8" s="1059"/>
      <c r="AX8" s="1059"/>
      <c r="AY8" s="1059"/>
      <c r="AZ8" s="1059"/>
      <c r="BA8" s="1059"/>
      <c r="BB8" s="1059"/>
      <c r="BC8" s="1059"/>
      <c r="BD8" s="1059"/>
      <c r="BE8" s="1059"/>
      <c r="BF8" s="1059"/>
      <c r="BG8" s="1059"/>
      <c r="BH8" s="1059"/>
      <c r="BI8" s="1059"/>
      <c r="BJ8" s="1059"/>
      <c r="BK8" s="1059"/>
      <c r="BL8" s="1059"/>
      <c r="BM8" s="1059"/>
      <c r="BN8" s="1059"/>
      <c r="BO8" s="1059"/>
      <c r="BP8" s="1059"/>
      <c r="BQ8" s="1059"/>
      <c r="BR8" s="1059"/>
      <c r="BS8" s="1059"/>
      <c r="BT8" s="1059"/>
      <c r="BU8" s="1059"/>
      <c r="BV8" s="1059"/>
      <c r="BW8" s="1059"/>
      <c r="BX8" s="1059"/>
      <c r="BY8" s="1059"/>
      <c r="BZ8" s="1059"/>
      <c r="CA8" s="1059"/>
      <c r="CB8" s="1059"/>
      <c r="CC8" s="1059"/>
      <c r="CD8" s="1059"/>
      <c r="CE8" s="1059"/>
      <c r="CF8" s="1059"/>
      <c r="CG8" s="1059"/>
      <c r="CH8" s="1059"/>
      <c r="CI8" s="1059"/>
      <c r="CJ8" s="1059"/>
      <c r="CK8" s="1059"/>
      <c r="CL8" s="1059"/>
      <c r="CM8" s="1059"/>
      <c r="CN8" s="1059"/>
      <c r="CO8" s="1059"/>
      <c r="CP8" s="1059"/>
      <c r="CQ8" s="1059"/>
      <c r="CR8" s="1059"/>
      <c r="CS8" s="1059"/>
      <c r="CT8" s="1059"/>
      <c r="CU8" s="1059"/>
      <c r="CV8" s="1059"/>
      <c r="CW8" s="1059"/>
      <c r="CX8" s="1059"/>
      <c r="CY8" s="1059"/>
      <c r="CZ8" s="1059"/>
      <c r="DA8" s="1059"/>
      <c r="DB8" s="1059"/>
      <c r="DC8" s="1059"/>
      <c r="DD8" s="1059"/>
      <c r="DE8" s="1059"/>
      <c r="DF8" s="1059"/>
      <c r="DG8" s="1059"/>
      <c r="DH8" s="1059"/>
      <c r="DI8" s="1059"/>
      <c r="DJ8" s="1059"/>
      <c r="DK8" s="1059"/>
      <c r="DL8" s="1059"/>
      <c r="DM8" s="1059"/>
      <c r="DN8" s="1059"/>
      <c r="DO8" s="1059"/>
      <c r="DP8" s="1059"/>
      <c r="DQ8" s="1059"/>
      <c r="DR8" s="1059"/>
      <c r="DS8" s="1059"/>
      <c r="DT8" s="1059"/>
      <c r="DU8" s="1059"/>
      <c r="DV8" s="1059"/>
      <c r="DW8" s="1059"/>
      <c r="DX8" s="1059"/>
      <c r="DY8" s="1059"/>
      <c r="DZ8" s="1059"/>
      <c r="EA8" s="1059"/>
      <c r="EB8" s="1059"/>
      <c r="EC8" s="1059"/>
      <c r="ED8" s="1059"/>
      <c r="EE8" s="1059"/>
      <c r="EF8" s="1059"/>
      <c r="EG8" s="1059"/>
      <c r="EH8" s="1059"/>
      <c r="EI8" s="1059"/>
      <c r="EJ8" s="1059"/>
      <c r="EK8" s="1059"/>
      <c r="EL8" s="1059"/>
      <c r="EM8" s="1059"/>
      <c r="EN8" s="1059"/>
      <c r="EO8" s="1059"/>
      <c r="EP8" s="1059"/>
      <c r="EQ8" s="1059"/>
      <c r="ER8" s="1059"/>
      <c r="ES8" s="1059"/>
      <c r="ET8" s="1059"/>
      <c r="EU8" s="1059"/>
      <c r="EV8" s="1059"/>
      <c r="EW8" s="1059"/>
      <c r="EX8" s="1059"/>
      <c r="EY8" s="1059"/>
      <c r="EZ8" s="1059"/>
      <c r="FA8" s="1059"/>
      <c r="FB8" s="1059"/>
      <c r="FC8" s="1059"/>
      <c r="FD8" s="1059"/>
      <c r="FE8" s="1059"/>
      <c r="FF8" s="1059"/>
      <c r="FG8" s="1059"/>
      <c r="FH8" s="1059"/>
      <c r="FI8" s="1059"/>
      <c r="FJ8" s="1059"/>
      <c r="FK8" s="1059"/>
      <c r="FL8" s="1059"/>
      <c r="FM8" s="1059"/>
      <c r="FN8" s="1059"/>
      <c r="FO8" s="1059"/>
      <c r="FP8" s="1059"/>
      <c r="FQ8" s="1059"/>
      <c r="FR8" s="1059"/>
      <c r="FS8" s="1059"/>
      <c r="FT8" s="1059"/>
      <c r="FU8" s="1059"/>
      <c r="FV8" s="1059"/>
      <c r="FW8" s="1059"/>
      <c r="FX8" s="1059"/>
      <c r="FY8" s="1059"/>
      <c r="FZ8" s="1059"/>
      <c r="GA8" s="1059"/>
      <c r="GB8" s="1059"/>
      <c r="GC8" s="1059"/>
      <c r="GD8" s="1059"/>
      <c r="GE8" s="1059"/>
      <c r="GF8" s="1059"/>
      <c r="GG8" s="1059"/>
      <c r="GH8" s="1059"/>
      <c r="GI8" s="1059"/>
      <c r="GJ8" s="1059"/>
      <c r="GK8" s="1059"/>
      <c r="GL8" s="1059"/>
      <c r="GM8" s="1059"/>
      <c r="GN8" s="1059"/>
      <c r="GO8" s="1059"/>
      <c r="GP8" s="1059"/>
      <c r="GQ8" s="1059"/>
      <c r="GR8" s="1059"/>
      <c r="GS8" s="1059"/>
      <c r="GT8" s="1059"/>
      <c r="GU8" s="1059"/>
      <c r="GV8" s="1059"/>
      <c r="GW8" s="1059"/>
      <c r="GX8" s="1059"/>
      <c r="GY8" s="1059"/>
      <c r="GZ8" s="1059"/>
      <c r="HA8" s="1059"/>
      <c r="HB8" s="1059"/>
      <c r="HC8" s="1059"/>
      <c r="HD8" s="1059"/>
      <c r="HE8" s="1059"/>
      <c r="HF8" s="1059"/>
      <c r="HG8" s="1059"/>
      <c r="HH8" s="1059"/>
      <c r="HI8" s="1059"/>
      <c r="HJ8" s="1059"/>
      <c r="HK8" s="1059"/>
      <c r="HL8" s="1059"/>
      <c r="HM8" s="1059"/>
      <c r="HN8" s="1059"/>
      <c r="HO8" s="1059"/>
      <c r="HP8" s="1059"/>
      <c r="HQ8" s="1059"/>
      <c r="HR8" s="1059"/>
      <c r="HS8" s="1059"/>
      <c r="HT8" s="1059"/>
      <c r="HU8" s="1059"/>
      <c r="HV8" s="1059"/>
      <c r="HW8" s="1059"/>
      <c r="HX8" s="1059"/>
      <c r="HY8" s="1059"/>
      <c r="HZ8" s="1059"/>
      <c r="IA8" s="1059"/>
      <c r="IB8" s="1059"/>
      <c r="IC8" s="1059"/>
      <c r="ID8" s="1059"/>
      <c r="IE8" s="1059"/>
      <c r="IF8" s="1059"/>
      <c r="IG8" s="1059"/>
      <c r="IH8" s="1059"/>
      <c r="II8" s="1059"/>
      <c r="IJ8" s="1059"/>
      <c r="IK8" s="1059"/>
      <c r="IL8" s="1059"/>
      <c r="IM8" s="1059"/>
      <c r="IN8" s="1059"/>
      <c r="IO8" s="1059"/>
      <c r="IP8" s="1059"/>
      <c r="IQ8" s="1059"/>
      <c r="IR8" s="1059"/>
      <c r="IS8" s="1059"/>
      <c r="IT8" s="1059"/>
      <c r="IU8" s="1059"/>
      <c r="IV8" s="1059"/>
    </row>
    <row r="9" s="1058" customFormat="1" ht="16.5" spans="1:256">
      <c r="A9" s="1075" t="s">
        <v>178</v>
      </c>
      <c r="B9" s="1071">
        <v>23444</v>
      </c>
      <c r="C9" s="1072">
        <v>22222</v>
      </c>
      <c r="D9" s="1073">
        <f t="shared" si="0"/>
        <v>0.0781466666666667</v>
      </c>
      <c r="E9" s="1074">
        <f t="shared" si="1"/>
        <v>0.1388875</v>
      </c>
      <c r="F9" s="1073">
        <f t="shared" si="2"/>
        <v>-0.0607408333333333</v>
      </c>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1059"/>
      <c r="FX9" s="1059"/>
      <c r="FY9" s="1059"/>
      <c r="FZ9" s="1059"/>
      <c r="GA9" s="1059"/>
      <c r="GB9" s="1059"/>
      <c r="GC9" s="1059"/>
      <c r="GD9" s="1059"/>
      <c r="GE9" s="1059"/>
      <c r="GF9" s="1059"/>
      <c r="GG9" s="1059"/>
      <c r="GH9" s="1059"/>
      <c r="GI9" s="1059"/>
      <c r="GJ9" s="1059"/>
      <c r="GK9" s="1059"/>
      <c r="GL9" s="1059"/>
      <c r="GM9" s="1059"/>
      <c r="GN9" s="1059"/>
      <c r="GO9" s="1059"/>
      <c r="GP9" s="1059"/>
      <c r="GQ9" s="1059"/>
      <c r="GR9" s="1059"/>
      <c r="GS9" s="1059"/>
      <c r="GT9" s="1059"/>
      <c r="GU9" s="1059"/>
      <c r="GV9" s="1059"/>
      <c r="GW9" s="1059"/>
      <c r="GX9" s="1059"/>
      <c r="GY9" s="1059"/>
      <c r="GZ9" s="1059"/>
      <c r="HA9" s="1059"/>
      <c r="HB9" s="1059"/>
      <c r="HC9" s="1059"/>
      <c r="HD9" s="1059"/>
      <c r="HE9" s="1059"/>
      <c r="HF9" s="1059"/>
      <c r="HG9" s="1059"/>
      <c r="HH9" s="1059"/>
      <c r="HI9" s="1059"/>
      <c r="HJ9" s="1059"/>
      <c r="HK9" s="1059"/>
      <c r="HL9" s="1059"/>
      <c r="HM9" s="1059"/>
      <c r="HN9" s="1059"/>
      <c r="HO9" s="1059"/>
      <c r="HP9" s="1059"/>
      <c r="HQ9" s="1059"/>
      <c r="HR9" s="1059"/>
      <c r="HS9" s="1059"/>
      <c r="HT9" s="1059"/>
      <c r="HU9" s="1059"/>
      <c r="HV9" s="1059"/>
      <c r="HW9" s="1059"/>
      <c r="HX9" s="1059"/>
      <c r="HY9" s="1059"/>
      <c r="HZ9" s="1059"/>
      <c r="IA9" s="1059"/>
      <c r="IB9" s="1059"/>
      <c r="IC9" s="1059"/>
      <c r="ID9" s="1059"/>
      <c r="IE9" s="1059"/>
      <c r="IF9" s="1059"/>
      <c r="IG9" s="1059"/>
      <c r="IH9" s="1059"/>
      <c r="II9" s="1059"/>
      <c r="IJ9" s="1059"/>
      <c r="IK9" s="1059"/>
      <c r="IL9" s="1059"/>
      <c r="IM9" s="1059"/>
      <c r="IN9" s="1059"/>
      <c r="IO9" s="1059"/>
      <c r="IP9" s="1059"/>
      <c r="IQ9" s="1059"/>
      <c r="IR9" s="1059"/>
      <c r="IS9" s="1059"/>
      <c r="IT9" s="1059"/>
      <c r="IU9" s="1059"/>
      <c r="IV9" s="1059"/>
    </row>
    <row r="10" s="1058" customFormat="1" ht="16.5" spans="1:256">
      <c r="A10" s="1075" t="s">
        <v>179</v>
      </c>
      <c r="B10" s="1071">
        <v>26000</v>
      </c>
      <c r="C10" s="1072">
        <v>32422</v>
      </c>
      <c r="D10" s="1073">
        <f t="shared" si="0"/>
        <v>0.0866666666666667</v>
      </c>
      <c r="E10" s="1074">
        <f t="shared" si="1"/>
        <v>0.2026375</v>
      </c>
      <c r="F10" s="1073">
        <f t="shared" si="2"/>
        <v>-0.115970833333333</v>
      </c>
      <c r="G10" s="1059"/>
      <c r="H10" s="1059"/>
      <c r="I10" s="1059"/>
      <c r="J10" s="1059"/>
      <c r="K10" s="1059"/>
      <c r="L10" s="1059"/>
      <c r="M10" s="1059"/>
      <c r="N10" s="1059"/>
      <c r="O10" s="1059"/>
      <c r="P10" s="1059"/>
      <c r="Q10" s="1059"/>
      <c r="R10" s="1059"/>
      <c r="S10" s="1059"/>
      <c r="T10" s="1059"/>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c r="AT10" s="1059"/>
      <c r="AU10" s="1059"/>
      <c r="AV10" s="1059"/>
      <c r="AW10" s="1059"/>
      <c r="AX10" s="1059"/>
      <c r="AY10" s="1059"/>
      <c r="AZ10" s="1059"/>
      <c r="BA10" s="1059"/>
      <c r="BB10" s="1059"/>
      <c r="BC10" s="1059"/>
      <c r="BD10" s="1059"/>
      <c r="BE10" s="1059"/>
      <c r="BF10" s="1059"/>
      <c r="BG10" s="1059"/>
      <c r="BH10" s="1059"/>
      <c r="BI10" s="1059"/>
      <c r="BJ10" s="1059"/>
      <c r="BK10" s="1059"/>
      <c r="BL10" s="1059"/>
      <c r="BM10" s="1059"/>
      <c r="BN10" s="1059"/>
      <c r="BO10" s="1059"/>
      <c r="BP10" s="1059"/>
      <c r="BQ10" s="1059"/>
      <c r="BR10" s="1059"/>
      <c r="BS10" s="1059"/>
      <c r="BT10" s="1059"/>
      <c r="BU10" s="1059"/>
      <c r="BV10" s="1059"/>
      <c r="BW10" s="1059"/>
      <c r="BX10" s="1059"/>
      <c r="BY10" s="1059"/>
      <c r="BZ10" s="1059"/>
      <c r="CA10" s="1059"/>
      <c r="CB10" s="1059"/>
      <c r="CC10" s="1059"/>
      <c r="CD10" s="1059"/>
      <c r="CE10" s="1059"/>
      <c r="CF10" s="1059"/>
      <c r="CG10" s="1059"/>
      <c r="CH10" s="1059"/>
      <c r="CI10" s="1059"/>
      <c r="CJ10" s="1059"/>
      <c r="CK10" s="1059"/>
      <c r="CL10" s="1059"/>
      <c r="CM10" s="1059"/>
      <c r="CN10" s="1059"/>
      <c r="CO10" s="1059"/>
      <c r="CP10" s="1059"/>
      <c r="CQ10" s="1059"/>
      <c r="CR10" s="1059"/>
      <c r="CS10" s="1059"/>
      <c r="CT10" s="1059"/>
      <c r="CU10" s="1059"/>
      <c r="CV10" s="1059"/>
      <c r="CW10" s="1059"/>
      <c r="CX10" s="1059"/>
      <c r="CY10" s="1059"/>
      <c r="CZ10" s="1059"/>
      <c r="DA10" s="1059"/>
      <c r="DB10" s="1059"/>
      <c r="DC10" s="1059"/>
      <c r="DD10" s="1059"/>
      <c r="DE10" s="1059"/>
      <c r="DF10" s="1059"/>
      <c r="DG10" s="1059"/>
      <c r="DH10" s="1059"/>
      <c r="DI10" s="1059"/>
      <c r="DJ10" s="1059"/>
      <c r="DK10" s="1059"/>
      <c r="DL10" s="1059"/>
      <c r="DM10" s="1059"/>
      <c r="DN10" s="1059"/>
      <c r="DO10" s="1059"/>
      <c r="DP10" s="1059"/>
      <c r="DQ10" s="1059"/>
      <c r="DR10" s="1059"/>
      <c r="DS10" s="1059"/>
      <c r="DT10" s="1059"/>
      <c r="DU10" s="1059"/>
      <c r="DV10" s="1059"/>
      <c r="DW10" s="1059"/>
      <c r="DX10" s="1059"/>
      <c r="DY10" s="1059"/>
      <c r="DZ10" s="1059"/>
      <c r="EA10" s="1059"/>
      <c r="EB10" s="1059"/>
      <c r="EC10" s="1059"/>
      <c r="ED10" s="1059"/>
      <c r="EE10" s="1059"/>
      <c r="EF10" s="1059"/>
      <c r="EG10" s="1059"/>
      <c r="EH10" s="1059"/>
      <c r="EI10" s="1059"/>
      <c r="EJ10" s="1059"/>
      <c r="EK10" s="1059"/>
      <c r="EL10" s="1059"/>
      <c r="EM10" s="1059"/>
      <c r="EN10" s="1059"/>
      <c r="EO10" s="1059"/>
      <c r="EP10" s="1059"/>
      <c r="EQ10" s="1059"/>
      <c r="ER10" s="1059"/>
      <c r="ES10" s="1059"/>
      <c r="ET10" s="1059"/>
      <c r="EU10" s="1059"/>
      <c r="EV10" s="1059"/>
      <c r="EW10" s="1059"/>
      <c r="EX10" s="1059"/>
      <c r="EY10" s="1059"/>
      <c r="EZ10" s="1059"/>
      <c r="FA10" s="1059"/>
      <c r="FB10" s="1059"/>
      <c r="FC10" s="1059"/>
      <c r="FD10" s="1059"/>
      <c r="FE10" s="1059"/>
      <c r="FF10" s="1059"/>
      <c r="FG10" s="1059"/>
      <c r="FH10" s="1059"/>
      <c r="FI10" s="1059"/>
      <c r="FJ10" s="1059"/>
      <c r="FK10" s="1059"/>
      <c r="FL10" s="1059"/>
      <c r="FM10" s="1059"/>
      <c r="FN10" s="1059"/>
      <c r="FO10" s="1059"/>
      <c r="FP10" s="1059"/>
      <c r="FQ10" s="1059"/>
      <c r="FR10" s="1059"/>
      <c r="FS10" s="1059"/>
      <c r="FT10" s="1059"/>
      <c r="FU10" s="1059"/>
      <c r="FV10" s="1059"/>
      <c r="FW10" s="1059"/>
      <c r="FX10" s="1059"/>
      <c r="FY10" s="1059"/>
      <c r="FZ10" s="1059"/>
      <c r="GA10" s="1059"/>
      <c r="GB10" s="1059"/>
      <c r="GC10" s="1059"/>
      <c r="GD10" s="1059"/>
      <c r="GE10" s="1059"/>
      <c r="GF10" s="1059"/>
      <c r="GG10" s="1059"/>
      <c r="GH10" s="1059"/>
      <c r="GI10" s="1059"/>
      <c r="GJ10" s="1059"/>
      <c r="GK10" s="1059"/>
      <c r="GL10" s="1059"/>
      <c r="GM10" s="1059"/>
      <c r="GN10" s="1059"/>
      <c r="GO10" s="1059"/>
      <c r="GP10" s="1059"/>
      <c r="GQ10" s="1059"/>
      <c r="GR10" s="1059"/>
      <c r="GS10" s="1059"/>
      <c r="GT10" s="1059"/>
      <c r="GU10" s="1059"/>
      <c r="GV10" s="1059"/>
      <c r="GW10" s="1059"/>
      <c r="GX10" s="1059"/>
      <c r="GY10" s="1059"/>
      <c r="GZ10" s="1059"/>
      <c r="HA10" s="1059"/>
      <c r="HB10" s="1059"/>
      <c r="HC10" s="1059"/>
      <c r="HD10" s="1059"/>
      <c r="HE10" s="1059"/>
      <c r="HF10" s="1059"/>
      <c r="HG10" s="1059"/>
      <c r="HH10" s="1059"/>
      <c r="HI10" s="1059"/>
      <c r="HJ10" s="1059"/>
      <c r="HK10" s="1059"/>
      <c r="HL10" s="1059"/>
      <c r="HM10" s="1059"/>
      <c r="HN10" s="1059"/>
      <c r="HO10" s="1059"/>
      <c r="HP10" s="1059"/>
      <c r="HQ10" s="1059"/>
      <c r="HR10" s="1059"/>
      <c r="HS10" s="1059"/>
      <c r="HT10" s="1059"/>
      <c r="HU10" s="1059"/>
      <c r="HV10" s="1059"/>
      <c r="HW10" s="1059"/>
      <c r="HX10" s="1059"/>
      <c r="HY10" s="1059"/>
      <c r="HZ10" s="1059"/>
      <c r="IA10" s="1059"/>
      <c r="IB10" s="1059"/>
      <c r="IC10" s="1059"/>
      <c r="ID10" s="1059"/>
      <c r="IE10" s="1059"/>
      <c r="IF10" s="1059"/>
      <c r="IG10" s="1059"/>
      <c r="IH10" s="1059"/>
      <c r="II10" s="1059"/>
      <c r="IJ10" s="1059"/>
      <c r="IK10" s="1059"/>
      <c r="IL10" s="1059"/>
      <c r="IM10" s="1059"/>
      <c r="IN10" s="1059"/>
      <c r="IO10" s="1059"/>
      <c r="IP10" s="1059"/>
      <c r="IQ10" s="1059"/>
      <c r="IR10" s="1059"/>
      <c r="IS10" s="1059"/>
      <c r="IT10" s="1059"/>
      <c r="IU10" s="1059"/>
      <c r="IV10" s="1059"/>
    </row>
    <row r="11" s="1058" customFormat="1" ht="16.5" spans="1:256">
      <c r="A11" s="1075" t="s">
        <v>180</v>
      </c>
      <c r="B11" s="1071"/>
      <c r="C11" s="1072"/>
      <c r="D11" s="1073">
        <f t="shared" si="0"/>
        <v>0</v>
      </c>
      <c r="E11" s="1074">
        <f t="shared" si="1"/>
        <v>0</v>
      </c>
      <c r="F11" s="1073">
        <f t="shared" si="2"/>
        <v>0</v>
      </c>
      <c r="G11" s="1059"/>
      <c r="H11" s="1059"/>
      <c r="I11" s="1059"/>
      <c r="J11" s="1059"/>
      <c r="K11" s="1059"/>
      <c r="L11" s="1059"/>
      <c r="M11" s="1059"/>
      <c r="N11" s="1059"/>
      <c r="O11" s="1059"/>
      <c r="P11" s="1059"/>
      <c r="Q11" s="1059"/>
      <c r="R11" s="1059"/>
      <c r="S11" s="1059"/>
      <c r="T11" s="1059"/>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c r="AT11" s="1059"/>
      <c r="AU11" s="1059"/>
      <c r="AV11" s="1059"/>
      <c r="AW11" s="1059"/>
      <c r="AX11" s="1059"/>
      <c r="AY11" s="1059"/>
      <c r="AZ11" s="1059"/>
      <c r="BA11" s="1059"/>
      <c r="BB11" s="1059"/>
      <c r="BC11" s="1059"/>
      <c r="BD11" s="1059"/>
      <c r="BE11" s="1059"/>
      <c r="BF11" s="1059"/>
      <c r="BG11" s="1059"/>
      <c r="BH11" s="1059"/>
      <c r="BI11" s="1059"/>
      <c r="BJ11" s="1059"/>
      <c r="BK11" s="1059"/>
      <c r="BL11" s="1059"/>
      <c r="BM11" s="1059"/>
      <c r="BN11" s="1059"/>
      <c r="BO11" s="1059"/>
      <c r="BP11" s="1059"/>
      <c r="BQ11" s="1059"/>
      <c r="BR11" s="1059"/>
      <c r="BS11" s="1059"/>
      <c r="BT11" s="1059"/>
      <c r="BU11" s="1059"/>
      <c r="BV11" s="1059"/>
      <c r="BW11" s="1059"/>
      <c r="BX11" s="1059"/>
      <c r="BY11" s="1059"/>
      <c r="BZ11" s="1059"/>
      <c r="CA11" s="1059"/>
      <c r="CB11" s="1059"/>
      <c r="CC11" s="1059"/>
      <c r="CD11" s="1059"/>
      <c r="CE11" s="1059"/>
      <c r="CF11" s="1059"/>
      <c r="CG11" s="1059"/>
      <c r="CH11" s="1059"/>
      <c r="CI11" s="1059"/>
      <c r="CJ11" s="1059"/>
      <c r="CK11" s="1059"/>
      <c r="CL11" s="1059"/>
      <c r="CM11" s="1059"/>
      <c r="CN11" s="1059"/>
      <c r="CO11" s="1059"/>
      <c r="CP11" s="1059"/>
      <c r="CQ11" s="1059"/>
      <c r="CR11" s="1059"/>
      <c r="CS11" s="1059"/>
      <c r="CT11" s="1059"/>
      <c r="CU11" s="1059"/>
      <c r="CV11" s="1059"/>
      <c r="CW11" s="1059"/>
      <c r="CX11" s="1059"/>
      <c r="CY11" s="1059"/>
      <c r="CZ11" s="1059"/>
      <c r="DA11" s="1059"/>
      <c r="DB11" s="1059"/>
      <c r="DC11" s="1059"/>
      <c r="DD11" s="1059"/>
      <c r="DE11" s="1059"/>
      <c r="DF11" s="1059"/>
      <c r="DG11" s="1059"/>
      <c r="DH11" s="1059"/>
      <c r="DI11" s="1059"/>
      <c r="DJ11" s="1059"/>
      <c r="DK11" s="1059"/>
      <c r="DL11" s="1059"/>
      <c r="DM11" s="1059"/>
      <c r="DN11" s="1059"/>
      <c r="DO11" s="1059"/>
      <c r="DP11" s="1059"/>
      <c r="DQ11" s="1059"/>
      <c r="DR11" s="1059"/>
      <c r="DS11" s="1059"/>
      <c r="DT11" s="1059"/>
      <c r="DU11" s="1059"/>
      <c r="DV11" s="1059"/>
      <c r="DW11" s="1059"/>
      <c r="DX11" s="1059"/>
      <c r="DY11" s="1059"/>
      <c r="DZ11" s="1059"/>
      <c r="EA11" s="1059"/>
      <c r="EB11" s="1059"/>
      <c r="EC11" s="1059"/>
      <c r="ED11" s="1059"/>
      <c r="EE11" s="1059"/>
      <c r="EF11" s="1059"/>
      <c r="EG11" s="1059"/>
      <c r="EH11" s="1059"/>
      <c r="EI11" s="1059"/>
      <c r="EJ11" s="1059"/>
      <c r="EK11" s="1059"/>
      <c r="EL11" s="1059"/>
      <c r="EM11" s="1059"/>
      <c r="EN11" s="1059"/>
      <c r="EO11" s="1059"/>
      <c r="EP11" s="1059"/>
      <c r="EQ11" s="1059"/>
      <c r="ER11" s="1059"/>
      <c r="ES11" s="1059"/>
      <c r="ET11" s="1059"/>
      <c r="EU11" s="1059"/>
      <c r="EV11" s="1059"/>
      <c r="EW11" s="1059"/>
      <c r="EX11" s="1059"/>
      <c r="EY11" s="1059"/>
      <c r="EZ11" s="1059"/>
      <c r="FA11" s="1059"/>
      <c r="FB11" s="1059"/>
      <c r="FC11" s="1059"/>
      <c r="FD11" s="1059"/>
      <c r="FE11" s="1059"/>
      <c r="FF11" s="1059"/>
      <c r="FG11" s="1059"/>
      <c r="FH11" s="1059"/>
      <c r="FI11" s="1059"/>
      <c r="FJ11" s="1059"/>
      <c r="FK11" s="1059"/>
      <c r="FL11" s="1059"/>
      <c r="FM11" s="1059"/>
      <c r="FN11" s="1059"/>
      <c r="FO11" s="1059"/>
      <c r="FP11" s="1059"/>
      <c r="FQ11" s="1059"/>
      <c r="FR11" s="1059"/>
      <c r="FS11" s="1059"/>
      <c r="FT11" s="1059"/>
      <c r="FU11" s="1059"/>
      <c r="FV11" s="1059"/>
      <c r="FW11" s="1059"/>
      <c r="FX11" s="1059"/>
      <c r="FY11" s="1059"/>
      <c r="FZ11" s="1059"/>
      <c r="GA11" s="1059"/>
      <c r="GB11" s="1059"/>
      <c r="GC11" s="1059"/>
      <c r="GD11" s="1059"/>
      <c r="GE11" s="1059"/>
      <c r="GF11" s="1059"/>
      <c r="GG11" s="1059"/>
      <c r="GH11" s="1059"/>
      <c r="GI11" s="1059"/>
      <c r="GJ11" s="1059"/>
      <c r="GK11" s="1059"/>
      <c r="GL11" s="1059"/>
      <c r="GM11" s="1059"/>
      <c r="GN11" s="1059"/>
      <c r="GO11" s="1059"/>
      <c r="GP11" s="1059"/>
      <c r="GQ11" s="1059"/>
      <c r="GR11" s="1059"/>
      <c r="GS11" s="1059"/>
      <c r="GT11" s="1059"/>
      <c r="GU11" s="1059"/>
      <c r="GV11" s="1059"/>
      <c r="GW11" s="1059"/>
      <c r="GX11" s="1059"/>
      <c r="GY11" s="1059"/>
      <c r="GZ11" s="1059"/>
      <c r="HA11" s="1059"/>
      <c r="HB11" s="1059"/>
      <c r="HC11" s="1059"/>
      <c r="HD11" s="1059"/>
      <c r="HE11" s="1059"/>
      <c r="HF11" s="1059"/>
      <c r="HG11" s="1059"/>
      <c r="HH11" s="1059"/>
      <c r="HI11" s="1059"/>
      <c r="HJ11" s="1059"/>
      <c r="HK11" s="1059"/>
      <c r="HL11" s="1059"/>
      <c r="HM11" s="1059"/>
      <c r="HN11" s="1059"/>
      <c r="HO11" s="1059"/>
      <c r="HP11" s="1059"/>
      <c r="HQ11" s="1059"/>
      <c r="HR11" s="1059"/>
      <c r="HS11" s="1059"/>
      <c r="HT11" s="1059"/>
      <c r="HU11" s="1059"/>
      <c r="HV11" s="1059"/>
      <c r="HW11" s="1059"/>
      <c r="HX11" s="1059"/>
      <c r="HY11" s="1059"/>
      <c r="HZ11" s="1059"/>
      <c r="IA11" s="1059"/>
      <c r="IB11" s="1059"/>
      <c r="IC11" s="1059"/>
      <c r="ID11" s="1059"/>
      <c r="IE11" s="1059"/>
      <c r="IF11" s="1059"/>
      <c r="IG11" s="1059"/>
      <c r="IH11" s="1059"/>
      <c r="II11" s="1059"/>
      <c r="IJ11" s="1059"/>
      <c r="IK11" s="1059"/>
      <c r="IL11" s="1059"/>
      <c r="IM11" s="1059"/>
      <c r="IN11" s="1059"/>
      <c r="IO11" s="1059"/>
      <c r="IP11" s="1059"/>
      <c r="IQ11" s="1059"/>
      <c r="IR11" s="1059"/>
      <c r="IS11" s="1059"/>
      <c r="IT11" s="1059"/>
      <c r="IU11" s="1059"/>
      <c r="IV11" s="1059"/>
    </row>
    <row r="12" s="1058" customFormat="1" ht="33" spans="1:256">
      <c r="A12" s="1075" t="s">
        <v>181</v>
      </c>
      <c r="B12" s="1071"/>
      <c r="C12" s="1072"/>
      <c r="D12" s="1073">
        <f t="shared" ref="D12:D14" si="3">-B12/$B$5</f>
        <v>0</v>
      </c>
      <c r="E12" s="1074">
        <f t="shared" ref="E12:E14" si="4">-C12/$C$5</f>
        <v>0</v>
      </c>
      <c r="F12" s="1073">
        <f t="shared" si="2"/>
        <v>0</v>
      </c>
      <c r="G12" s="1059"/>
      <c r="H12" s="1059"/>
      <c r="I12" s="1059"/>
      <c r="J12" s="1059"/>
      <c r="K12" s="1059"/>
      <c r="L12" s="1059"/>
      <c r="M12" s="1059"/>
      <c r="N12" s="1059"/>
      <c r="O12" s="1059"/>
      <c r="P12" s="1059"/>
      <c r="Q12" s="1059"/>
      <c r="R12" s="1059"/>
      <c r="S12" s="1059"/>
      <c r="T12" s="1059"/>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c r="AT12" s="1059"/>
      <c r="AU12" s="1059"/>
      <c r="AV12" s="1059"/>
      <c r="AW12" s="1059"/>
      <c r="AX12" s="1059"/>
      <c r="AY12" s="1059"/>
      <c r="AZ12" s="1059"/>
      <c r="BA12" s="1059"/>
      <c r="BB12" s="1059"/>
      <c r="BC12" s="1059"/>
      <c r="BD12" s="1059"/>
      <c r="BE12" s="1059"/>
      <c r="BF12" s="1059"/>
      <c r="BG12" s="1059"/>
      <c r="BH12" s="1059"/>
      <c r="BI12" s="1059"/>
      <c r="BJ12" s="1059"/>
      <c r="BK12" s="1059"/>
      <c r="BL12" s="1059"/>
      <c r="BM12" s="1059"/>
      <c r="BN12" s="1059"/>
      <c r="BO12" s="1059"/>
      <c r="BP12" s="1059"/>
      <c r="BQ12" s="1059"/>
      <c r="BR12" s="1059"/>
      <c r="BS12" s="1059"/>
      <c r="BT12" s="1059"/>
      <c r="BU12" s="1059"/>
      <c r="BV12" s="1059"/>
      <c r="BW12" s="1059"/>
      <c r="BX12" s="1059"/>
      <c r="BY12" s="1059"/>
      <c r="BZ12" s="1059"/>
      <c r="CA12" s="1059"/>
      <c r="CB12" s="1059"/>
      <c r="CC12" s="1059"/>
      <c r="CD12" s="1059"/>
      <c r="CE12" s="1059"/>
      <c r="CF12" s="1059"/>
      <c r="CG12" s="1059"/>
      <c r="CH12" s="1059"/>
      <c r="CI12" s="1059"/>
      <c r="CJ12" s="1059"/>
      <c r="CK12" s="1059"/>
      <c r="CL12" s="1059"/>
      <c r="CM12" s="1059"/>
      <c r="CN12" s="1059"/>
      <c r="CO12" s="1059"/>
      <c r="CP12" s="1059"/>
      <c r="CQ12" s="1059"/>
      <c r="CR12" s="1059"/>
      <c r="CS12" s="1059"/>
      <c r="CT12" s="1059"/>
      <c r="CU12" s="1059"/>
      <c r="CV12" s="1059"/>
      <c r="CW12" s="1059"/>
      <c r="CX12" s="1059"/>
      <c r="CY12" s="1059"/>
      <c r="CZ12" s="1059"/>
      <c r="DA12" s="1059"/>
      <c r="DB12" s="1059"/>
      <c r="DC12" s="1059"/>
      <c r="DD12" s="1059"/>
      <c r="DE12" s="1059"/>
      <c r="DF12" s="1059"/>
      <c r="DG12" s="1059"/>
      <c r="DH12" s="1059"/>
      <c r="DI12" s="1059"/>
      <c r="DJ12" s="1059"/>
      <c r="DK12" s="1059"/>
      <c r="DL12" s="1059"/>
      <c r="DM12" s="1059"/>
      <c r="DN12" s="1059"/>
      <c r="DO12" s="1059"/>
      <c r="DP12" s="1059"/>
      <c r="DQ12" s="1059"/>
      <c r="DR12" s="1059"/>
      <c r="DS12" s="1059"/>
      <c r="DT12" s="1059"/>
      <c r="DU12" s="1059"/>
      <c r="DV12" s="1059"/>
      <c r="DW12" s="1059"/>
      <c r="DX12" s="1059"/>
      <c r="DY12" s="1059"/>
      <c r="DZ12" s="1059"/>
      <c r="EA12" s="1059"/>
      <c r="EB12" s="1059"/>
      <c r="EC12" s="1059"/>
      <c r="ED12" s="1059"/>
      <c r="EE12" s="1059"/>
      <c r="EF12" s="1059"/>
      <c r="EG12" s="1059"/>
      <c r="EH12" s="1059"/>
      <c r="EI12" s="1059"/>
      <c r="EJ12" s="1059"/>
      <c r="EK12" s="1059"/>
      <c r="EL12" s="1059"/>
      <c r="EM12" s="1059"/>
      <c r="EN12" s="1059"/>
      <c r="EO12" s="1059"/>
      <c r="EP12" s="1059"/>
      <c r="EQ12" s="1059"/>
      <c r="ER12" s="1059"/>
      <c r="ES12" s="1059"/>
      <c r="ET12" s="1059"/>
      <c r="EU12" s="1059"/>
      <c r="EV12" s="1059"/>
      <c r="EW12" s="1059"/>
      <c r="EX12" s="1059"/>
      <c r="EY12" s="1059"/>
      <c r="EZ12" s="1059"/>
      <c r="FA12" s="1059"/>
      <c r="FB12" s="1059"/>
      <c r="FC12" s="1059"/>
      <c r="FD12" s="1059"/>
      <c r="FE12" s="1059"/>
      <c r="FF12" s="1059"/>
      <c r="FG12" s="1059"/>
      <c r="FH12" s="1059"/>
      <c r="FI12" s="1059"/>
      <c r="FJ12" s="1059"/>
      <c r="FK12" s="1059"/>
      <c r="FL12" s="1059"/>
      <c r="FM12" s="1059"/>
      <c r="FN12" s="1059"/>
      <c r="FO12" s="1059"/>
      <c r="FP12" s="1059"/>
      <c r="FQ12" s="1059"/>
      <c r="FR12" s="1059"/>
      <c r="FS12" s="1059"/>
      <c r="FT12" s="1059"/>
      <c r="FU12" s="1059"/>
      <c r="FV12" s="1059"/>
      <c r="FW12" s="1059"/>
      <c r="FX12" s="1059"/>
      <c r="FY12" s="1059"/>
      <c r="FZ12" s="1059"/>
      <c r="GA12" s="1059"/>
      <c r="GB12" s="1059"/>
      <c r="GC12" s="1059"/>
      <c r="GD12" s="1059"/>
      <c r="GE12" s="1059"/>
      <c r="GF12" s="1059"/>
      <c r="GG12" s="1059"/>
      <c r="GH12" s="1059"/>
      <c r="GI12" s="1059"/>
      <c r="GJ12" s="1059"/>
      <c r="GK12" s="1059"/>
      <c r="GL12" s="1059"/>
      <c r="GM12" s="1059"/>
      <c r="GN12" s="1059"/>
      <c r="GO12" s="1059"/>
      <c r="GP12" s="1059"/>
      <c r="GQ12" s="1059"/>
      <c r="GR12" s="1059"/>
      <c r="GS12" s="1059"/>
      <c r="GT12" s="1059"/>
      <c r="GU12" s="1059"/>
      <c r="GV12" s="1059"/>
      <c r="GW12" s="1059"/>
      <c r="GX12" s="1059"/>
      <c r="GY12" s="1059"/>
      <c r="GZ12" s="1059"/>
      <c r="HA12" s="1059"/>
      <c r="HB12" s="1059"/>
      <c r="HC12" s="1059"/>
      <c r="HD12" s="1059"/>
      <c r="HE12" s="1059"/>
      <c r="HF12" s="1059"/>
      <c r="HG12" s="1059"/>
      <c r="HH12" s="1059"/>
      <c r="HI12" s="1059"/>
      <c r="HJ12" s="1059"/>
      <c r="HK12" s="1059"/>
      <c r="HL12" s="1059"/>
      <c r="HM12" s="1059"/>
      <c r="HN12" s="1059"/>
      <c r="HO12" s="1059"/>
      <c r="HP12" s="1059"/>
      <c r="HQ12" s="1059"/>
      <c r="HR12" s="1059"/>
      <c r="HS12" s="1059"/>
      <c r="HT12" s="1059"/>
      <c r="HU12" s="1059"/>
      <c r="HV12" s="1059"/>
      <c r="HW12" s="1059"/>
      <c r="HX12" s="1059"/>
      <c r="HY12" s="1059"/>
      <c r="HZ12" s="1059"/>
      <c r="IA12" s="1059"/>
      <c r="IB12" s="1059"/>
      <c r="IC12" s="1059"/>
      <c r="ID12" s="1059"/>
      <c r="IE12" s="1059"/>
      <c r="IF12" s="1059"/>
      <c r="IG12" s="1059"/>
      <c r="IH12" s="1059"/>
      <c r="II12" s="1059"/>
      <c r="IJ12" s="1059"/>
      <c r="IK12" s="1059"/>
      <c r="IL12" s="1059"/>
      <c r="IM12" s="1059"/>
      <c r="IN12" s="1059"/>
      <c r="IO12" s="1059"/>
      <c r="IP12" s="1059"/>
      <c r="IQ12" s="1059"/>
      <c r="IR12" s="1059"/>
      <c r="IS12" s="1059"/>
      <c r="IT12" s="1059"/>
      <c r="IU12" s="1059"/>
      <c r="IV12" s="1059"/>
    </row>
    <row r="13" s="1058" customFormat="1" ht="33" spans="1:256">
      <c r="A13" s="1075" t="s">
        <v>182</v>
      </c>
      <c r="B13" s="1071"/>
      <c r="C13" s="1072"/>
      <c r="D13" s="1073">
        <f t="shared" si="3"/>
        <v>0</v>
      </c>
      <c r="E13" s="1074">
        <f t="shared" si="4"/>
        <v>0</v>
      </c>
      <c r="F13" s="1073">
        <f t="shared" si="2"/>
        <v>0</v>
      </c>
      <c r="G13" s="1059"/>
      <c r="H13" s="1059"/>
      <c r="I13" s="1059"/>
      <c r="J13" s="1059"/>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c r="AT13" s="1059"/>
      <c r="AU13" s="1059"/>
      <c r="AV13" s="1059"/>
      <c r="AW13" s="1059"/>
      <c r="AX13" s="1059"/>
      <c r="AY13" s="1059"/>
      <c r="AZ13" s="1059"/>
      <c r="BA13" s="1059"/>
      <c r="BB13" s="1059"/>
      <c r="BC13" s="1059"/>
      <c r="BD13" s="1059"/>
      <c r="BE13" s="1059"/>
      <c r="BF13" s="1059"/>
      <c r="BG13" s="1059"/>
      <c r="BH13" s="1059"/>
      <c r="BI13" s="1059"/>
      <c r="BJ13" s="1059"/>
      <c r="BK13" s="1059"/>
      <c r="BL13" s="1059"/>
      <c r="BM13" s="1059"/>
      <c r="BN13" s="1059"/>
      <c r="BO13" s="1059"/>
      <c r="BP13" s="1059"/>
      <c r="BQ13" s="1059"/>
      <c r="BR13" s="1059"/>
      <c r="BS13" s="1059"/>
      <c r="BT13" s="1059"/>
      <c r="BU13" s="1059"/>
      <c r="BV13" s="1059"/>
      <c r="BW13" s="1059"/>
      <c r="BX13" s="1059"/>
      <c r="BY13" s="1059"/>
      <c r="BZ13" s="1059"/>
      <c r="CA13" s="1059"/>
      <c r="CB13" s="1059"/>
      <c r="CC13" s="1059"/>
      <c r="CD13" s="1059"/>
      <c r="CE13" s="1059"/>
      <c r="CF13" s="1059"/>
      <c r="CG13" s="1059"/>
      <c r="CH13" s="1059"/>
      <c r="CI13" s="1059"/>
      <c r="CJ13" s="1059"/>
      <c r="CK13" s="1059"/>
      <c r="CL13" s="1059"/>
      <c r="CM13" s="1059"/>
      <c r="CN13" s="1059"/>
      <c r="CO13" s="1059"/>
      <c r="CP13" s="1059"/>
      <c r="CQ13" s="1059"/>
      <c r="CR13" s="1059"/>
      <c r="CS13" s="1059"/>
      <c r="CT13" s="1059"/>
      <c r="CU13" s="1059"/>
      <c r="CV13" s="1059"/>
      <c r="CW13" s="1059"/>
      <c r="CX13" s="1059"/>
      <c r="CY13" s="1059"/>
      <c r="CZ13" s="1059"/>
      <c r="DA13" s="1059"/>
      <c r="DB13" s="1059"/>
      <c r="DC13" s="1059"/>
      <c r="DD13" s="1059"/>
      <c r="DE13" s="1059"/>
      <c r="DF13" s="1059"/>
      <c r="DG13" s="1059"/>
      <c r="DH13" s="1059"/>
      <c r="DI13" s="1059"/>
      <c r="DJ13" s="1059"/>
      <c r="DK13" s="1059"/>
      <c r="DL13" s="1059"/>
      <c r="DM13" s="1059"/>
      <c r="DN13" s="1059"/>
      <c r="DO13" s="1059"/>
      <c r="DP13" s="1059"/>
      <c r="DQ13" s="1059"/>
      <c r="DR13" s="1059"/>
      <c r="DS13" s="1059"/>
      <c r="DT13" s="1059"/>
      <c r="DU13" s="1059"/>
      <c r="DV13" s="1059"/>
      <c r="DW13" s="1059"/>
      <c r="DX13" s="1059"/>
      <c r="DY13" s="1059"/>
      <c r="DZ13" s="1059"/>
      <c r="EA13" s="1059"/>
      <c r="EB13" s="1059"/>
      <c r="EC13" s="1059"/>
      <c r="ED13" s="1059"/>
      <c r="EE13" s="1059"/>
      <c r="EF13" s="1059"/>
      <c r="EG13" s="1059"/>
      <c r="EH13" s="1059"/>
      <c r="EI13" s="1059"/>
      <c r="EJ13" s="1059"/>
      <c r="EK13" s="1059"/>
      <c r="EL13" s="1059"/>
      <c r="EM13" s="1059"/>
      <c r="EN13" s="1059"/>
      <c r="EO13" s="1059"/>
      <c r="EP13" s="1059"/>
      <c r="EQ13" s="1059"/>
      <c r="ER13" s="1059"/>
      <c r="ES13" s="1059"/>
      <c r="ET13" s="1059"/>
      <c r="EU13" s="1059"/>
      <c r="EV13" s="1059"/>
      <c r="EW13" s="1059"/>
      <c r="EX13" s="1059"/>
      <c r="EY13" s="1059"/>
      <c r="EZ13" s="1059"/>
      <c r="FA13" s="1059"/>
      <c r="FB13" s="1059"/>
      <c r="FC13" s="1059"/>
      <c r="FD13" s="1059"/>
      <c r="FE13" s="1059"/>
      <c r="FF13" s="1059"/>
      <c r="FG13" s="1059"/>
      <c r="FH13" s="1059"/>
      <c r="FI13" s="1059"/>
      <c r="FJ13" s="1059"/>
      <c r="FK13" s="1059"/>
      <c r="FL13" s="1059"/>
      <c r="FM13" s="1059"/>
      <c r="FN13" s="1059"/>
      <c r="FO13" s="1059"/>
      <c r="FP13" s="1059"/>
      <c r="FQ13" s="1059"/>
      <c r="FR13" s="1059"/>
      <c r="FS13" s="1059"/>
      <c r="FT13" s="1059"/>
      <c r="FU13" s="1059"/>
      <c r="FV13" s="1059"/>
      <c r="FW13" s="1059"/>
      <c r="FX13" s="1059"/>
      <c r="FY13" s="1059"/>
      <c r="FZ13" s="1059"/>
      <c r="GA13" s="1059"/>
      <c r="GB13" s="1059"/>
      <c r="GC13" s="1059"/>
      <c r="GD13" s="1059"/>
      <c r="GE13" s="1059"/>
      <c r="GF13" s="1059"/>
      <c r="GG13" s="1059"/>
      <c r="GH13" s="1059"/>
      <c r="GI13" s="1059"/>
      <c r="GJ13" s="1059"/>
      <c r="GK13" s="1059"/>
      <c r="GL13" s="1059"/>
      <c r="GM13" s="1059"/>
      <c r="GN13" s="1059"/>
      <c r="GO13" s="1059"/>
      <c r="GP13" s="1059"/>
      <c r="GQ13" s="1059"/>
      <c r="GR13" s="1059"/>
      <c r="GS13" s="1059"/>
      <c r="GT13" s="1059"/>
      <c r="GU13" s="1059"/>
      <c r="GV13" s="1059"/>
      <c r="GW13" s="1059"/>
      <c r="GX13" s="1059"/>
      <c r="GY13" s="1059"/>
      <c r="GZ13" s="1059"/>
      <c r="HA13" s="1059"/>
      <c r="HB13" s="1059"/>
      <c r="HC13" s="1059"/>
      <c r="HD13" s="1059"/>
      <c r="HE13" s="1059"/>
      <c r="HF13" s="1059"/>
      <c r="HG13" s="1059"/>
      <c r="HH13" s="1059"/>
      <c r="HI13" s="1059"/>
      <c r="HJ13" s="1059"/>
      <c r="HK13" s="1059"/>
      <c r="HL13" s="1059"/>
      <c r="HM13" s="1059"/>
      <c r="HN13" s="1059"/>
      <c r="HO13" s="1059"/>
      <c r="HP13" s="1059"/>
      <c r="HQ13" s="1059"/>
      <c r="HR13" s="1059"/>
      <c r="HS13" s="1059"/>
      <c r="HT13" s="1059"/>
      <c r="HU13" s="1059"/>
      <c r="HV13" s="1059"/>
      <c r="HW13" s="1059"/>
      <c r="HX13" s="1059"/>
      <c r="HY13" s="1059"/>
      <c r="HZ13" s="1059"/>
      <c r="IA13" s="1059"/>
      <c r="IB13" s="1059"/>
      <c r="IC13" s="1059"/>
      <c r="ID13" s="1059"/>
      <c r="IE13" s="1059"/>
      <c r="IF13" s="1059"/>
      <c r="IG13" s="1059"/>
      <c r="IH13" s="1059"/>
      <c r="II13" s="1059"/>
      <c r="IJ13" s="1059"/>
      <c r="IK13" s="1059"/>
      <c r="IL13" s="1059"/>
      <c r="IM13" s="1059"/>
      <c r="IN13" s="1059"/>
      <c r="IO13" s="1059"/>
      <c r="IP13" s="1059"/>
      <c r="IQ13" s="1059"/>
      <c r="IR13" s="1059"/>
      <c r="IS13" s="1059"/>
      <c r="IT13" s="1059"/>
      <c r="IU13" s="1059"/>
      <c r="IV13" s="1059"/>
    </row>
    <row r="14" s="1058" customFormat="1" ht="33" spans="1:256">
      <c r="A14" s="1075" t="s">
        <v>183</v>
      </c>
      <c r="B14" s="1071"/>
      <c r="C14" s="1072"/>
      <c r="D14" s="1073">
        <f t="shared" si="3"/>
        <v>0</v>
      </c>
      <c r="E14" s="1074">
        <f t="shared" si="4"/>
        <v>0</v>
      </c>
      <c r="F14" s="1073">
        <f t="shared" si="2"/>
        <v>0</v>
      </c>
      <c r="G14" s="1059"/>
      <c r="H14" s="1059"/>
      <c r="I14" s="1059"/>
      <c r="J14" s="1059"/>
      <c r="K14" s="1059"/>
      <c r="L14" s="1059"/>
      <c r="M14" s="1059"/>
      <c r="N14" s="1059"/>
      <c r="O14" s="1059"/>
      <c r="P14" s="1059"/>
      <c r="Q14" s="1059"/>
      <c r="R14" s="1059"/>
      <c r="S14" s="1059"/>
      <c r="T14" s="1059"/>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c r="AT14" s="1059"/>
      <c r="AU14" s="1059"/>
      <c r="AV14" s="1059"/>
      <c r="AW14" s="1059"/>
      <c r="AX14" s="1059"/>
      <c r="AY14" s="1059"/>
      <c r="AZ14" s="1059"/>
      <c r="BA14" s="1059"/>
      <c r="BB14" s="1059"/>
      <c r="BC14" s="1059"/>
      <c r="BD14" s="1059"/>
      <c r="BE14" s="1059"/>
      <c r="BF14" s="1059"/>
      <c r="BG14" s="1059"/>
      <c r="BH14" s="1059"/>
      <c r="BI14" s="1059"/>
      <c r="BJ14" s="1059"/>
      <c r="BK14" s="1059"/>
      <c r="BL14" s="1059"/>
      <c r="BM14" s="1059"/>
      <c r="BN14" s="1059"/>
      <c r="BO14" s="1059"/>
      <c r="BP14" s="1059"/>
      <c r="BQ14" s="1059"/>
      <c r="BR14" s="1059"/>
      <c r="BS14" s="1059"/>
      <c r="BT14" s="1059"/>
      <c r="BU14" s="1059"/>
      <c r="BV14" s="1059"/>
      <c r="BW14" s="1059"/>
      <c r="BX14" s="1059"/>
      <c r="BY14" s="1059"/>
      <c r="BZ14" s="1059"/>
      <c r="CA14" s="1059"/>
      <c r="CB14" s="1059"/>
      <c r="CC14" s="1059"/>
      <c r="CD14" s="1059"/>
      <c r="CE14" s="1059"/>
      <c r="CF14" s="1059"/>
      <c r="CG14" s="1059"/>
      <c r="CH14" s="1059"/>
      <c r="CI14" s="1059"/>
      <c r="CJ14" s="1059"/>
      <c r="CK14" s="1059"/>
      <c r="CL14" s="1059"/>
      <c r="CM14" s="1059"/>
      <c r="CN14" s="1059"/>
      <c r="CO14" s="1059"/>
      <c r="CP14" s="1059"/>
      <c r="CQ14" s="1059"/>
      <c r="CR14" s="1059"/>
      <c r="CS14" s="1059"/>
      <c r="CT14" s="1059"/>
      <c r="CU14" s="1059"/>
      <c r="CV14" s="1059"/>
      <c r="CW14" s="1059"/>
      <c r="CX14" s="1059"/>
      <c r="CY14" s="1059"/>
      <c r="CZ14" s="1059"/>
      <c r="DA14" s="1059"/>
      <c r="DB14" s="1059"/>
      <c r="DC14" s="1059"/>
      <c r="DD14" s="1059"/>
      <c r="DE14" s="1059"/>
      <c r="DF14" s="1059"/>
      <c r="DG14" s="1059"/>
      <c r="DH14" s="1059"/>
      <c r="DI14" s="1059"/>
      <c r="DJ14" s="1059"/>
      <c r="DK14" s="1059"/>
      <c r="DL14" s="1059"/>
      <c r="DM14" s="1059"/>
      <c r="DN14" s="1059"/>
      <c r="DO14" s="1059"/>
      <c r="DP14" s="1059"/>
      <c r="DQ14" s="1059"/>
      <c r="DR14" s="1059"/>
      <c r="DS14" s="1059"/>
      <c r="DT14" s="1059"/>
      <c r="DU14" s="1059"/>
      <c r="DV14" s="1059"/>
      <c r="DW14" s="1059"/>
      <c r="DX14" s="1059"/>
      <c r="DY14" s="1059"/>
      <c r="DZ14" s="1059"/>
      <c r="EA14" s="1059"/>
      <c r="EB14" s="1059"/>
      <c r="EC14" s="1059"/>
      <c r="ED14" s="1059"/>
      <c r="EE14" s="1059"/>
      <c r="EF14" s="1059"/>
      <c r="EG14" s="1059"/>
      <c r="EH14" s="1059"/>
      <c r="EI14" s="1059"/>
      <c r="EJ14" s="1059"/>
      <c r="EK14" s="1059"/>
      <c r="EL14" s="1059"/>
      <c r="EM14" s="1059"/>
      <c r="EN14" s="1059"/>
      <c r="EO14" s="1059"/>
      <c r="EP14" s="1059"/>
      <c r="EQ14" s="1059"/>
      <c r="ER14" s="1059"/>
      <c r="ES14" s="1059"/>
      <c r="ET14" s="1059"/>
      <c r="EU14" s="1059"/>
      <c r="EV14" s="1059"/>
      <c r="EW14" s="1059"/>
      <c r="EX14" s="1059"/>
      <c r="EY14" s="1059"/>
      <c r="EZ14" s="1059"/>
      <c r="FA14" s="1059"/>
      <c r="FB14" s="1059"/>
      <c r="FC14" s="1059"/>
      <c r="FD14" s="1059"/>
      <c r="FE14" s="1059"/>
      <c r="FF14" s="1059"/>
      <c r="FG14" s="1059"/>
      <c r="FH14" s="1059"/>
      <c r="FI14" s="1059"/>
      <c r="FJ14" s="1059"/>
      <c r="FK14" s="1059"/>
      <c r="FL14" s="1059"/>
      <c r="FM14" s="1059"/>
      <c r="FN14" s="1059"/>
      <c r="FO14" s="1059"/>
      <c r="FP14" s="1059"/>
      <c r="FQ14" s="1059"/>
      <c r="FR14" s="1059"/>
      <c r="FS14" s="1059"/>
      <c r="FT14" s="1059"/>
      <c r="FU14" s="1059"/>
      <c r="FV14" s="1059"/>
      <c r="FW14" s="1059"/>
      <c r="FX14" s="1059"/>
      <c r="FY14" s="1059"/>
      <c r="FZ14" s="1059"/>
      <c r="GA14" s="1059"/>
      <c r="GB14" s="1059"/>
      <c r="GC14" s="1059"/>
      <c r="GD14" s="1059"/>
      <c r="GE14" s="1059"/>
      <c r="GF14" s="1059"/>
      <c r="GG14" s="1059"/>
      <c r="GH14" s="1059"/>
      <c r="GI14" s="1059"/>
      <c r="GJ14" s="1059"/>
      <c r="GK14" s="1059"/>
      <c r="GL14" s="1059"/>
      <c r="GM14" s="1059"/>
      <c r="GN14" s="1059"/>
      <c r="GO14" s="1059"/>
      <c r="GP14" s="1059"/>
      <c r="GQ14" s="1059"/>
      <c r="GR14" s="1059"/>
      <c r="GS14" s="1059"/>
      <c r="GT14" s="1059"/>
      <c r="GU14" s="1059"/>
      <c r="GV14" s="1059"/>
      <c r="GW14" s="1059"/>
      <c r="GX14" s="1059"/>
      <c r="GY14" s="1059"/>
      <c r="GZ14" s="1059"/>
      <c r="HA14" s="1059"/>
      <c r="HB14" s="1059"/>
      <c r="HC14" s="1059"/>
      <c r="HD14" s="1059"/>
      <c r="HE14" s="1059"/>
      <c r="HF14" s="1059"/>
      <c r="HG14" s="1059"/>
      <c r="HH14" s="1059"/>
      <c r="HI14" s="1059"/>
      <c r="HJ14" s="1059"/>
      <c r="HK14" s="1059"/>
      <c r="HL14" s="1059"/>
      <c r="HM14" s="1059"/>
      <c r="HN14" s="1059"/>
      <c r="HO14" s="1059"/>
      <c r="HP14" s="1059"/>
      <c r="HQ14" s="1059"/>
      <c r="HR14" s="1059"/>
      <c r="HS14" s="1059"/>
      <c r="HT14" s="1059"/>
      <c r="HU14" s="1059"/>
      <c r="HV14" s="1059"/>
      <c r="HW14" s="1059"/>
      <c r="HX14" s="1059"/>
      <c r="HY14" s="1059"/>
      <c r="HZ14" s="1059"/>
      <c r="IA14" s="1059"/>
      <c r="IB14" s="1059"/>
      <c r="IC14" s="1059"/>
      <c r="ID14" s="1059"/>
      <c r="IE14" s="1059"/>
      <c r="IF14" s="1059"/>
      <c r="IG14" s="1059"/>
      <c r="IH14" s="1059"/>
      <c r="II14" s="1059"/>
      <c r="IJ14" s="1059"/>
      <c r="IK14" s="1059"/>
      <c r="IL14" s="1059"/>
      <c r="IM14" s="1059"/>
      <c r="IN14" s="1059"/>
      <c r="IO14" s="1059"/>
      <c r="IP14" s="1059"/>
      <c r="IQ14" s="1059"/>
      <c r="IR14" s="1059"/>
      <c r="IS14" s="1059"/>
      <c r="IT14" s="1059"/>
      <c r="IU14" s="1059"/>
      <c r="IV14" s="1059"/>
    </row>
    <row r="15" s="1058" customFormat="1" ht="33" spans="1:256">
      <c r="A15" s="1070" t="s">
        <v>184</v>
      </c>
      <c r="B15" s="1076">
        <f>B5-B6-B7-B8-B9-B10-B11+B12+B13</f>
        <v>159559</v>
      </c>
      <c r="C15" s="1077">
        <f>C5-C6-C7-C8-C9-C10-C11+C12+C13</f>
        <v>57080</v>
      </c>
      <c r="D15" s="1073">
        <f t="shared" ref="D15:D21" si="5">B15/$B$5</f>
        <v>0.531863333333333</v>
      </c>
      <c r="E15" s="1074">
        <f t="shared" ref="E15:E21" si="6">C15/$C$5</f>
        <v>0.35675</v>
      </c>
      <c r="F15" s="1073">
        <f t="shared" si="2"/>
        <v>0.175113333333333</v>
      </c>
      <c r="G15" s="1059"/>
      <c r="H15" s="1059"/>
      <c r="I15" s="1059"/>
      <c r="J15" s="1059"/>
      <c r="K15" s="1059"/>
      <c r="L15" s="1059"/>
      <c r="M15" s="1059"/>
      <c r="N15" s="1059"/>
      <c r="O15" s="1059"/>
      <c r="P15" s="1059"/>
      <c r="Q15" s="1059"/>
      <c r="R15" s="1059"/>
      <c r="S15" s="1059"/>
      <c r="T15" s="1059"/>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c r="AT15" s="1059"/>
      <c r="AU15" s="1059"/>
      <c r="AV15" s="1059"/>
      <c r="AW15" s="1059"/>
      <c r="AX15" s="1059"/>
      <c r="AY15" s="1059"/>
      <c r="AZ15" s="1059"/>
      <c r="BA15" s="1059"/>
      <c r="BB15" s="1059"/>
      <c r="BC15" s="1059"/>
      <c r="BD15" s="1059"/>
      <c r="BE15" s="1059"/>
      <c r="BF15" s="1059"/>
      <c r="BG15" s="1059"/>
      <c r="BH15" s="1059"/>
      <c r="BI15" s="1059"/>
      <c r="BJ15" s="1059"/>
      <c r="BK15" s="1059"/>
      <c r="BL15" s="1059"/>
      <c r="BM15" s="1059"/>
      <c r="BN15" s="1059"/>
      <c r="BO15" s="1059"/>
      <c r="BP15" s="1059"/>
      <c r="BQ15" s="1059"/>
      <c r="BR15" s="1059"/>
      <c r="BS15" s="1059"/>
      <c r="BT15" s="1059"/>
      <c r="BU15" s="1059"/>
      <c r="BV15" s="1059"/>
      <c r="BW15" s="1059"/>
      <c r="BX15" s="1059"/>
      <c r="BY15" s="1059"/>
      <c r="BZ15" s="1059"/>
      <c r="CA15" s="1059"/>
      <c r="CB15" s="1059"/>
      <c r="CC15" s="1059"/>
      <c r="CD15" s="1059"/>
      <c r="CE15" s="1059"/>
      <c r="CF15" s="1059"/>
      <c r="CG15" s="1059"/>
      <c r="CH15" s="1059"/>
      <c r="CI15" s="1059"/>
      <c r="CJ15" s="1059"/>
      <c r="CK15" s="1059"/>
      <c r="CL15" s="1059"/>
      <c r="CM15" s="1059"/>
      <c r="CN15" s="1059"/>
      <c r="CO15" s="1059"/>
      <c r="CP15" s="1059"/>
      <c r="CQ15" s="1059"/>
      <c r="CR15" s="1059"/>
      <c r="CS15" s="1059"/>
      <c r="CT15" s="1059"/>
      <c r="CU15" s="1059"/>
      <c r="CV15" s="1059"/>
      <c r="CW15" s="1059"/>
      <c r="CX15" s="1059"/>
      <c r="CY15" s="1059"/>
      <c r="CZ15" s="1059"/>
      <c r="DA15" s="1059"/>
      <c r="DB15" s="1059"/>
      <c r="DC15" s="1059"/>
      <c r="DD15" s="1059"/>
      <c r="DE15" s="1059"/>
      <c r="DF15" s="1059"/>
      <c r="DG15" s="1059"/>
      <c r="DH15" s="1059"/>
      <c r="DI15" s="1059"/>
      <c r="DJ15" s="1059"/>
      <c r="DK15" s="1059"/>
      <c r="DL15" s="1059"/>
      <c r="DM15" s="1059"/>
      <c r="DN15" s="1059"/>
      <c r="DO15" s="1059"/>
      <c r="DP15" s="1059"/>
      <c r="DQ15" s="1059"/>
      <c r="DR15" s="1059"/>
      <c r="DS15" s="1059"/>
      <c r="DT15" s="1059"/>
      <c r="DU15" s="1059"/>
      <c r="DV15" s="1059"/>
      <c r="DW15" s="1059"/>
      <c r="DX15" s="1059"/>
      <c r="DY15" s="1059"/>
      <c r="DZ15" s="1059"/>
      <c r="EA15" s="1059"/>
      <c r="EB15" s="1059"/>
      <c r="EC15" s="1059"/>
      <c r="ED15" s="1059"/>
      <c r="EE15" s="1059"/>
      <c r="EF15" s="1059"/>
      <c r="EG15" s="1059"/>
      <c r="EH15" s="1059"/>
      <c r="EI15" s="1059"/>
      <c r="EJ15" s="1059"/>
      <c r="EK15" s="1059"/>
      <c r="EL15" s="1059"/>
      <c r="EM15" s="1059"/>
      <c r="EN15" s="1059"/>
      <c r="EO15" s="1059"/>
      <c r="EP15" s="1059"/>
      <c r="EQ15" s="1059"/>
      <c r="ER15" s="1059"/>
      <c r="ES15" s="1059"/>
      <c r="ET15" s="1059"/>
      <c r="EU15" s="1059"/>
      <c r="EV15" s="1059"/>
      <c r="EW15" s="1059"/>
      <c r="EX15" s="1059"/>
      <c r="EY15" s="1059"/>
      <c r="EZ15" s="1059"/>
      <c r="FA15" s="1059"/>
      <c r="FB15" s="1059"/>
      <c r="FC15" s="1059"/>
      <c r="FD15" s="1059"/>
      <c r="FE15" s="1059"/>
      <c r="FF15" s="1059"/>
      <c r="FG15" s="1059"/>
      <c r="FH15" s="1059"/>
      <c r="FI15" s="1059"/>
      <c r="FJ15" s="1059"/>
      <c r="FK15" s="1059"/>
      <c r="FL15" s="1059"/>
      <c r="FM15" s="1059"/>
      <c r="FN15" s="1059"/>
      <c r="FO15" s="1059"/>
      <c r="FP15" s="1059"/>
      <c r="FQ15" s="1059"/>
      <c r="FR15" s="1059"/>
      <c r="FS15" s="1059"/>
      <c r="FT15" s="1059"/>
      <c r="FU15" s="1059"/>
      <c r="FV15" s="1059"/>
      <c r="FW15" s="1059"/>
      <c r="FX15" s="1059"/>
      <c r="FY15" s="1059"/>
      <c r="FZ15" s="1059"/>
      <c r="GA15" s="1059"/>
      <c r="GB15" s="1059"/>
      <c r="GC15" s="1059"/>
      <c r="GD15" s="1059"/>
      <c r="GE15" s="1059"/>
      <c r="GF15" s="1059"/>
      <c r="GG15" s="1059"/>
      <c r="GH15" s="1059"/>
      <c r="GI15" s="1059"/>
      <c r="GJ15" s="1059"/>
      <c r="GK15" s="1059"/>
      <c r="GL15" s="1059"/>
      <c r="GM15" s="1059"/>
      <c r="GN15" s="1059"/>
      <c r="GO15" s="1059"/>
      <c r="GP15" s="1059"/>
      <c r="GQ15" s="1059"/>
      <c r="GR15" s="1059"/>
      <c r="GS15" s="1059"/>
      <c r="GT15" s="1059"/>
      <c r="GU15" s="1059"/>
      <c r="GV15" s="1059"/>
      <c r="GW15" s="1059"/>
      <c r="GX15" s="1059"/>
      <c r="GY15" s="1059"/>
      <c r="GZ15" s="1059"/>
      <c r="HA15" s="1059"/>
      <c r="HB15" s="1059"/>
      <c r="HC15" s="1059"/>
      <c r="HD15" s="1059"/>
      <c r="HE15" s="1059"/>
      <c r="HF15" s="1059"/>
      <c r="HG15" s="1059"/>
      <c r="HH15" s="1059"/>
      <c r="HI15" s="1059"/>
      <c r="HJ15" s="1059"/>
      <c r="HK15" s="1059"/>
      <c r="HL15" s="1059"/>
      <c r="HM15" s="1059"/>
      <c r="HN15" s="1059"/>
      <c r="HO15" s="1059"/>
      <c r="HP15" s="1059"/>
      <c r="HQ15" s="1059"/>
      <c r="HR15" s="1059"/>
      <c r="HS15" s="1059"/>
      <c r="HT15" s="1059"/>
      <c r="HU15" s="1059"/>
      <c r="HV15" s="1059"/>
      <c r="HW15" s="1059"/>
      <c r="HX15" s="1059"/>
      <c r="HY15" s="1059"/>
      <c r="HZ15" s="1059"/>
      <c r="IA15" s="1059"/>
      <c r="IB15" s="1059"/>
      <c r="IC15" s="1059"/>
      <c r="ID15" s="1059"/>
      <c r="IE15" s="1059"/>
      <c r="IF15" s="1059"/>
      <c r="IG15" s="1059"/>
      <c r="IH15" s="1059"/>
      <c r="II15" s="1059"/>
      <c r="IJ15" s="1059"/>
      <c r="IK15" s="1059"/>
      <c r="IL15" s="1059"/>
      <c r="IM15" s="1059"/>
      <c r="IN15" s="1059"/>
      <c r="IO15" s="1059"/>
      <c r="IP15" s="1059"/>
      <c r="IQ15" s="1059"/>
      <c r="IR15" s="1059"/>
      <c r="IS15" s="1059"/>
      <c r="IT15" s="1059"/>
      <c r="IU15" s="1059"/>
      <c r="IV15" s="1059"/>
    </row>
    <row r="16" s="1058" customFormat="1" ht="16.5" spans="1:256">
      <c r="A16" s="1075" t="s">
        <v>185</v>
      </c>
      <c r="B16" s="1071"/>
      <c r="C16" s="1072"/>
      <c r="D16" s="1073">
        <f>-B16/$B$5</f>
        <v>0</v>
      </c>
      <c r="E16" s="1074">
        <f>-C16/$C$5</f>
        <v>0</v>
      </c>
      <c r="F16" s="1073">
        <f t="shared" si="2"/>
        <v>0</v>
      </c>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BV16" s="1059"/>
      <c r="BW16" s="1059"/>
      <c r="BX16" s="1059"/>
      <c r="BY16" s="1059"/>
      <c r="BZ16" s="1059"/>
      <c r="CA16" s="1059"/>
      <c r="CB16" s="1059"/>
      <c r="CC16" s="1059"/>
      <c r="CD16" s="1059"/>
      <c r="CE16" s="1059"/>
      <c r="CF16" s="1059"/>
      <c r="CG16" s="1059"/>
      <c r="CH16" s="1059"/>
      <c r="CI16" s="1059"/>
      <c r="CJ16" s="1059"/>
      <c r="CK16" s="1059"/>
      <c r="CL16" s="1059"/>
      <c r="CM16" s="1059"/>
      <c r="CN16" s="1059"/>
      <c r="CO16" s="1059"/>
      <c r="CP16" s="1059"/>
      <c r="CQ16" s="1059"/>
      <c r="CR16" s="1059"/>
      <c r="CS16" s="1059"/>
      <c r="CT16" s="1059"/>
      <c r="CU16" s="1059"/>
      <c r="CV16" s="1059"/>
      <c r="CW16" s="1059"/>
      <c r="CX16" s="1059"/>
      <c r="CY16" s="1059"/>
      <c r="CZ16" s="1059"/>
      <c r="DA16" s="1059"/>
      <c r="DB16" s="1059"/>
      <c r="DC16" s="1059"/>
      <c r="DD16" s="1059"/>
      <c r="DE16" s="1059"/>
      <c r="DF16" s="1059"/>
      <c r="DG16" s="1059"/>
      <c r="DH16" s="1059"/>
      <c r="DI16" s="1059"/>
      <c r="DJ16" s="1059"/>
      <c r="DK16" s="1059"/>
      <c r="DL16" s="1059"/>
      <c r="DM16" s="1059"/>
      <c r="DN16" s="1059"/>
      <c r="DO16" s="1059"/>
      <c r="DP16" s="1059"/>
      <c r="DQ16" s="1059"/>
      <c r="DR16" s="1059"/>
      <c r="DS16" s="1059"/>
      <c r="DT16" s="1059"/>
      <c r="DU16" s="1059"/>
      <c r="DV16" s="1059"/>
      <c r="DW16" s="1059"/>
      <c r="DX16" s="1059"/>
      <c r="DY16" s="1059"/>
      <c r="DZ16" s="1059"/>
      <c r="EA16" s="1059"/>
      <c r="EB16" s="1059"/>
      <c r="EC16" s="1059"/>
      <c r="ED16" s="1059"/>
      <c r="EE16" s="1059"/>
      <c r="EF16" s="1059"/>
      <c r="EG16" s="1059"/>
      <c r="EH16" s="1059"/>
      <c r="EI16" s="1059"/>
      <c r="EJ16" s="1059"/>
      <c r="EK16" s="1059"/>
      <c r="EL16" s="1059"/>
      <c r="EM16" s="1059"/>
      <c r="EN16" s="1059"/>
      <c r="EO16" s="1059"/>
      <c r="EP16" s="1059"/>
      <c r="EQ16" s="1059"/>
      <c r="ER16" s="1059"/>
      <c r="ES16" s="1059"/>
      <c r="ET16" s="1059"/>
      <c r="EU16" s="1059"/>
      <c r="EV16" s="1059"/>
      <c r="EW16" s="1059"/>
      <c r="EX16" s="1059"/>
      <c r="EY16" s="1059"/>
      <c r="EZ16" s="1059"/>
      <c r="FA16" s="1059"/>
      <c r="FB16" s="1059"/>
      <c r="FC16" s="1059"/>
      <c r="FD16" s="1059"/>
      <c r="FE16" s="1059"/>
      <c r="FF16" s="1059"/>
      <c r="FG16" s="1059"/>
      <c r="FH16" s="1059"/>
      <c r="FI16" s="1059"/>
      <c r="FJ16" s="1059"/>
      <c r="FK16" s="1059"/>
      <c r="FL16" s="1059"/>
      <c r="FM16" s="1059"/>
      <c r="FN16" s="1059"/>
      <c r="FO16" s="1059"/>
      <c r="FP16" s="1059"/>
      <c r="FQ16" s="1059"/>
      <c r="FR16" s="1059"/>
      <c r="FS16" s="1059"/>
      <c r="FT16" s="1059"/>
      <c r="FU16" s="1059"/>
      <c r="FV16" s="1059"/>
      <c r="FW16" s="1059"/>
      <c r="FX16" s="1059"/>
      <c r="FY16" s="1059"/>
      <c r="FZ16" s="1059"/>
      <c r="GA16" s="1059"/>
      <c r="GB16" s="1059"/>
      <c r="GC16" s="1059"/>
      <c r="GD16" s="1059"/>
      <c r="GE16" s="1059"/>
      <c r="GF16" s="1059"/>
      <c r="GG16" s="1059"/>
      <c r="GH16" s="1059"/>
      <c r="GI16" s="1059"/>
      <c r="GJ16" s="1059"/>
      <c r="GK16" s="1059"/>
      <c r="GL16" s="1059"/>
      <c r="GM16" s="1059"/>
      <c r="GN16" s="1059"/>
      <c r="GO16" s="1059"/>
      <c r="GP16" s="1059"/>
      <c r="GQ16" s="1059"/>
      <c r="GR16" s="1059"/>
      <c r="GS16" s="1059"/>
      <c r="GT16" s="1059"/>
      <c r="GU16" s="1059"/>
      <c r="GV16" s="1059"/>
      <c r="GW16" s="1059"/>
      <c r="GX16" s="1059"/>
      <c r="GY16" s="1059"/>
      <c r="GZ16" s="1059"/>
      <c r="HA16" s="1059"/>
      <c r="HB16" s="1059"/>
      <c r="HC16" s="1059"/>
      <c r="HD16" s="1059"/>
      <c r="HE16" s="1059"/>
      <c r="HF16" s="1059"/>
      <c r="HG16" s="1059"/>
      <c r="HH16" s="1059"/>
      <c r="HI16" s="1059"/>
      <c r="HJ16" s="1059"/>
      <c r="HK16" s="1059"/>
      <c r="HL16" s="1059"/>
      <c r="HM16" s="1059"/>
      <c r="HN16" s="1059"/>
      <c r="HO16" s="1059"/>
      <c r="HP16" s="1059"/>
      <c r="HQ16" s="1059"/>
      <c r="HR16" s="1059"/>
      <c r="HS16" s="1059"/>
      <c r="HT16" s="1059"/>
      <c r="HU16" s="1059"/>
      <c r="HV16" s="1059"/>
      <c r="HW16" s="1059"/>
      <c r="HX16" s="1059"/>
      <c r="HY16" s="1059"/>
      <c r="HZ16" s="1059"/>
      <c r="IA16" s="1059"/>
      <c r="IB16" s="1059"/>
      <c r="IC16" s="1059"/>
      <c r="ID16" s="1059"/>
      <c r="IE16" s="1059"/>
      <c r="IF16" s="1059"/>
      <c r="IG16" s="1059"/>
      <c r="IH16" s="1059"/>
      <c r="II16" s="1059"/>
      <c r="IJ16" s="1059"/>
      <c r="IK16" s="1059"/>
      <c r="IL16" s="1059"/>
      <c r="IM16" s="1059"/>
      <c r="IN16" s="1059"/>
      <c r="IO16" s="1059"/>
      <c r="IP16" s="1059"/>
      <c r="IQ16" s="1059"/>
      <c r="IR16" s="1059"/>
      <c r="IS16" s="1059"/>
      <c r="IT16" s="1059"/>
      <c r="IU16" s="1059"/>
      <c r="IV16" s="1059"/>
    </row>
    <row r="17" s="1058" customFormat="1" ht="16.5" spans="1:256">
      <c r="A17" s="1075" t="s">
        <v>186</v>
      </c>
      <c r="B17" s="1071"/>
      <c r="C17" s="1072"/>
      <c r="D17" s="1073">
        <f t="shared" si="5"/>
        <v>0</v>
      </c>
      <c r="E17" s="1074">
        <f t="shared" si="6"/>
        <v>0</v>
      </c>
      <c r="F17" s="1073">
        <f t="shared" si="2"/>
        <v>0</v>
      </c>
      <c r="G17" s="1059"/>
      <c r="H17" s="1059"/>
      <c r="I17" s="1059"/>
      <c r="J17" s="1059"/>
      <c r="K17" s="1059"/>
      <c r="L17" s="1059"/>
      <c r="M17" s="1059"/>
      <c r="N17" s="1059"/>
      <c r="O17" s="1059"/>
      <c r="P17" s="1059"/>
      <c r="Q17" s="1059"/>
      <c r="R17" s="1059"/>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59"/>
      <c r="AS17" s="1059"/>
      <c r="AT17" s="1059"/>
      <c r="AU17" s="1059"/>
      <c r="AV17" s="1059"/>
      <c r="AW17" s="1059"/>
      <c r="AX17" s="1059"/>
      <c r="AY17" s="1059"/>
      <c r="AZ17" s="1059"/>
      <c r="BA17" s="1059"/>
      <c r="BB17" s="1059"/>
      <c r="BC17" s="1059"/>
      <c r="BD17" s="1059"/>
      <c r="BE17" s="1059"/>
      <c r="BF17" s="1059"/>
      <c r="BG17" s="1059"/>
      <c r="BH17" s="1059"/>
      <c r="BI17" s="1059"/>
      <c r="BJ17" s="1059"/>
      <c r="BK17" s="1059"/>
      <c r="BL17" s="1059"/>
      <c r="BM17" s="1059"/>
      <c r="BN17" s="1059"/>
      <c r="BO17" s="1059"/>
      <c r="BP17" s="1059"/>
      <c r="BQ17" s="1059"/>
      <c r="BR17" s="1059"/>
      <c r="BS17" s="1059"/>
      <c r="BT17" s="1059"/>
      <c r="BU17" s="1059"/>
      <c r="BV17" s="1059"/>
      <c r="BW17" s="1059"/>
      <c r="BX17" s="1059"/>
      <c r="BY17" s="1059"/>
      <c r="BZ17" s="1059"/>
      <c r="CA17" s="1059"/>
      <c r="CB17" s="1059"/>
      <c r="CC17" s="1059"/>
      <c r="CD17" s="1059"/>
      <c r="CE17" s="1059"/>
      <c r="CF17" s="1059"/>
      <c r="CG17" s="1059"/>
      <c r="CH17" s="1059"/>
      <c r="CI17" s="1059"/>
      <c r="CJ17" s="1059"/>
      <c r="CK17" s="1059"/>
      <c r="CL17" s="1059"/>
      <c r="CM17" s="1059"/>
      <c r="CN17" s="1059"/>
      <c r="CO17" s="1059"/>
      <c r="CP17" s="1059"/>
      <c r="CQ17" s="1059"/>
      <c r="CR17" s="1059"/>
      <c r="CS17" s="1059"/>
      <c r="CT17" s="1059"/>
      <c r="CU17" s="1059"/>
      <c r="CV17" s="1059"/>
      <c r="CW17" s="1059"/>
      <c r="CX17" s="1059"/>
      <c r="CY17" s="1059"/>
      <c r="CZ17" s="1059"/>
      <c r="DA17" s="1059"/>
      <c r="DB17" s="1059"/>
      <c r="DC17" s="1059"/>
      <c r="DD17" s="1059"/>
      <c r="DE17" s="1059"/>
      <c r="DF17" s="1059"/>
      <c r="DG17" s="1059"/>
      <c r="DH17" s="1059"/>
      <c r="DI17" s="1059"/>
      <c r="DJ17" s="1059"/>
      <c r="DK17" s="1059"/>
      <c r="DL17" s="1059"/>
      <c r="DM17" s="1059"/>
      <c r="DN17" s="1059"/>
      <c r="DO17" s="1059"/>
      <c r="DP17" s="1059"/>
      <c r="DQ17" s="1059"/>
      <c r="DR17" s="1059"/>
      <c r="DS17" s="1059"/>
      <c r="DT17" s="1059"/>
      <c r="DU17" s="1059"/>
      <c r="DV17" s="1059"/>
      <c r="DW17" s="1059"/>
      <c r="DX17" s="1059"/>
      <c r="DY17" s="1059"/>
      <c r="DZ17" s="1059"/>
      <c r="EA17" s="1059"/>
      <c r="EB17" s="1059"/>
      <c r="EC17" s="1059"/>
      <c r="ED17" s="1059"/>
      <c r="EE17" s="1059"/>
      <c r="EF17" s="1059"/>
      <c r="EG17" s="1059"/>
      <c r="EH17" s="1059"/>
      <c r="EI17" s="1059"/>
      <c r="EJ17" s="1059"/>
      <c r="EK17" s="1059"/>
      <c r="EL17" s="1059"/>
      <c r="EM17" s="1059"/>
      <c r="EN17" s="1059"/>
      <c r="EO17" s="1059"/>
      <c r="EP17" s="1059"/>
      <c r="EQ17" s="1059"/>
      <c r="ER17" s="1059"/>
      <c r="ES17" s="1059"/>
      <c r="ET17" s="1059"/>
      <c r="EU17" s="1059"/>
      <c r="EV17" s="1059"/>
      <c r="EW17" s="1059"/>
      <c r="EX17" s="1059"/>
      <c r="EY17" s="1059"/>
      <c r="EZ17" s="1059"/>
      <c r="FA17" s="1059"/>
      <c r="FB17" s="1059"/>
      <c r="FC17" s="1059"/>
      <c r="FD17" s="1059"/>
      <c r="FE17" s="1059"/>
      <c r="FF17" s="1059"/>
      <c r="FG17" s="1059"/>
      <c r="FH17" s="1059"/>
      <c r="FI17" s="1059"/>
      <c r="FJ17" s="1059"/>
      <c r="FK17" s="1059"/>
      <c r="FL17" s="1059"/>
      <c r="FM17" s="1059"/>
      <c r="FN17" s="1059"/>
      <c r="FO17" s="1059"/>
      <c r="FP17" s="1059"/>
      <c r="FQ17" s="1059"/>
      <c r="FR17" s="1059"/>
      <c r="FS17" s="1059"/>
      <c r="FT17" s="1059"/>
      <c r="FU17" s="1059"/>
      <c r="FV17" s="1059"/>
      <c r="FW17" s="1059"/>
      <c r="FX17" s="1059"/>
      <c r="FY17" s="1059"/>
      <c r="FZ17" s="1059"/>
      <c r="GA17" s="1059"/>
      <c r="GB17" s="1059"/>
      <c r="GC17" s="1059"/>
      <c r="GD17" s="1059"/>
      <c r="GE17" s="1059"/>
      <c r="GF17" s="1059"/>
      <c r="GG17" s="1059"/>
      <c r="GH17" s="1059"/>
      <c r="GI17" s="1059"/>
      <c r="GJ17" s="1059"/>
      <c r="GK17" s="1059"/>
      <c r="GL17" s="1059"/>
      <c r="GM17" s="1059"/>
      <c r="GN17" s="1059"/>
      <c r="GO17" s="1059"/>
      <c r="GP17" s="1059"/>
      <c r="GQ17" s="1059"/>
      <c r="GR17" s="1059"/>
      <c r="GS17" s="1059"/>
      <c r="GT17" s="1059"/>
      <c r="GU17" s="1059"/>
      <c r="GV17" s="1059"/>
      <c r="GW17" s="1059"/>
      <c r="GX17" s="1059"/>
      <c r="GY17" s="1059"/>
      <c r="GZ17" s="1059"/>
      <c r="HA17" s="1059"/>
      <c r="HB17" s="1059"/>
      <c r="HC17" s="1059"/>
      <c r="HD17" s="1059"/>
      <c r="HE17" s="1059"/>
      <c r="HF17" s="1059"/>
      <c r="HG17" s="1059"/>
      <c r="HH17" s="1059"/>
      <c r="HI17" s="1059"/>
      <c r="HJ17" s="1059"/>
      <c r="HK17" s="1059"/>
      <c r="HL17" s="1059"/>
      <c r="HM17" s="1059"/>
      <c r="HN17" s="1059"/>
      <c r="HO17" s="1059"/>
      <c r="HP17" s="1059"/>
      <c r="HQ17" s="1059"/>
      <c r="HR17" s="1059"/>
      <c r="HS17" s="1059"/>
      <c r="HT17" s="1059"/>
      <c r="HU17" s="1059"/>
      <c r="HV17" s="1059"/>
      <c r="HW17" s="1059"/>
      <c r="HX17" s="1059"/>
      <c r="HY17" s="1059"/>
      <c r="HZ17" s="1059"/>
      <c r="IA17" s="1059"/>
      <c r="IB17" s="1059"/>
      <c r="IC17" s="1059"/>
      <c r="ID17" s="1059"/>
      <c r="IE17" s="1059"/>
      <c r="IF17" s="1059"/>
      <c r="IG17" s="1059"/>
      <c r="IH17" s="1059"/>
      <c r="II17" s="1059"/>
      <c r="IJ17" s="1059"/>
      <c r="IK17" s="1059"/>
      <c r="IL17" s="1059"/>
      <c r="IM17" s="1059"/>
      <c r="IN17" s="1059"/>
      <c r="IO17" s="1059"/>
      <c r="IP17" s="1059"/>
      <c r="IQ17" s="1059"/>
      <c r="IR17" s="1059"/>
      <c r="IS17" s="1059"/>
      <c r="IT17" s="1059"/>
      <c r="IU17" s="1059"/>
      <c r="IV17" s="1059"/>
    </row>
    <row r="18" s="1058" customFormat="1" ht="33" spans="1:256">
      <c r="A18" s="1075" t="s">
        <v>187</v>
      </c>
      <c r="B18" s="1071"/>
      <c r="C18" s="1072"/>
      <c r="D18" s="1073">
        <f t="shared" si="5"/>
        <v>0</v>
      </c>
      <c r="E18" s="1074">
        <f t="shared" si="6"/>
        <v>0</v>
      </c>
      <c r="F18" s="1073">
        <f t="shared" si="2"/>
        <v>0</v>
      </c>
      <c r="G18" s="1059"/>
      <c r="H18" s="1059"/>
      <c r="I18" s="1059"/>
      <c r="J18" s="1059"/>
      <c r="K18" s="1059"/>
      <c r="L18" s="1059"/>
      <c r="M18" s="1059"/>
      <c r="N18" s="1059"/>
      <c r="O18" s="1059"/>
      <c r="P18" s="1059"/>
      <c r="Q18" s="1059"/>
      <c r="R18" s="1059"/>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59"/>
      <c r="AS18" s="1059"/>
      <c r="AT18" s="1059"/>
      <c r="AU18" s="1059"/>
      <c r="AV18" s="1059"/>
      <c r="AW18" s="1059"/>
      <c r="AX18" s="1059"/>
      <c r="AY18" s="1059"/>
      <c r="AZ18" s="1059"/>
      <c r="BA18" s="1059"/>
      <c r="BB18" s="1059"/>
      <c r="BC18" s="1059"/>
      <c r="BD18" s="1059"/>
      <c r="BE18" s="1059"/>
      <c r="BF18" s="1059"/>
      <c r="BG18" s="1059"/>
      <c r="BH18" s="1059"/>
      <c r="BI18" s="1059"/>
      <c r="BJ18" s="1059"/>
      <c r="BK18" s="1059"/>
      <c r="BL18" s="1059"/>
      <c r="BM18" s="1059"/>
      <c r="BN18" s="1059"/>
      <c r="BO18" s="1059"/>
      <c r="BP18" s="1059"/>
      <c r="BQ18" s="1059"/>
      <c r="BR18" s="1059"/>
      <c r="BS18" s="1059"/>
      <c r="BT18" s="1059"/>
      <c r="BU18" s="1059"/>
      <c r="BV18" s="1059"/>
      <c r="BW18" s="1059"/>
      <c r="BX18" s="1059"/>
      <c r="BY18" s="1059"/>
      <c r="BZ18" s="1059"/>
      <c r="CA18" s="1059"/>
      <c r="CB18" s="1059"/>
      <c r="CC18" s="1059"/>
      <c r="CD18" s="1059"/>
      <c r="CE18" s="1059"/>
      <c r="CF18" s="1059"/>
      <c r="CG18" s="1059"/>
      <c r="CH18" s="1059"/>
      <c r="CI18" s="1059"/>
      <c r="CJ18" s="1059"/>
      <c r="CK18" s="1059"/>
      <c r="CL18" s="1059"/>
      <c r="CM18" s="1059"/>
      <c r="CN18" s="1059"/>
      <c r="CO18" s="1059"/>
      <c r="CP18" s="1059"/>
      <c r="CQ18" s="1059"/>
      <c r="CR18" s="1059"/>
      <c r="CS18" s="1059"/>
      <c r="CT18" s="1059"/>
      <c r="CU18" s="1059"/>
      <c r="CV18" s="1059"/>
      <c r="CW18" s="1059"/>
      <c r="CX18" s="1059"/>
      <c r="CY18" s="1059"/>
      <c r="CZ18" s="1059"/>
      <c r="DA18" s="1059"/>
      <c r="DB18" s="1059"/>
      <c r="DC18" s="1059"/>
      <c r="DD18" s="1059"/>
      <c r="DE18" s="1059"/>
      <c r="DF18" s="1059"/>
      <c r="DG18" s="1059"/>
      <c r="DH18" s="1059"/>
      <c r="DI18" s="1059"/>
      <c r="DJ18" s="1059"/>
      <c r="DK18" s="1059"/>
      <c r="DL18" s="1059"/>
      <c r="DM18" s="1059"/>
      <c r="DN18" s="1059"/>
      <c r="DO18" s="1059"/>
      <c r="DP18" s="1059"/>
      <c r="DQ18" s="1059"/>
      <c r="DR18" s="1059"/>
      <c r="DS18" s="1059"/>
      <c r="DT18" s="1059"/>
      <c r="DU18" s="1059"/>
      <c r="DV18" s="1059"/>
      <c r="DW18" s="1059"/>
      <c r="DX18" s="1059"/>
      <c r="DY18" s="1059"/>
      <c r="DZ18" s="1059"/>
      <c r="EA18" s="1059"/>
      <c r="EB18" s="1059"/>
      <c r="EC18" s="1059"/>
      <c r="ED18" s="1059"/>
      <c r="EE18" s="1059"/>
      <c r="EF18" s="1059"/>
      <c r="EG18" s="1059"/>
      <c r="EH18" s="1059"/>
      <c r="EI18" s="1059"/>
      <c r="EJ18" s="1059"/>
      <c r="EK18" s="1059"/>
      <c r="EL18" s="1059"/>
      <c r="EM18" s="1059"/>
      <c r="EN18" s="1059"/>
      <c r="EO18" s="1059"/>
      <c r="EP18" s="1059"/>
      <c r="EQ18" s="1059"/>
      <c r="ER18" s="1059"/>
      <c r="ES18" s="1059"/>
      <c r="ET18" s="1059"/>
      <c r="EU18" s="1059"/>
      <c r="EV18" s="1059"/>
      <c r="EW18" s="1059"/>
      <c r="EX18" s="1059"/>
      <c r="EY18" s="1059"/>
      <c r="EZ18" s="1059"/>
      <c r="FA18" s="1059"/>
      <c r="FB18" s="1059"/>
      <c r="FC18" s="1059"/>
      <c r="FD18" s="1059"/>
      <c r="FE18" s="1059"/>
      <c r="FF18" s="1059"/>
      <c r="FG18" s="1059"/>
      <c r="FH18" s="1059"/>
      <c r="FI18" s="1059"/>
      <c r="FJ18" s="1059"/>
      <c r="FK18" s="1059"/>
      <c r="FL18" s="1059"/>
      <c r="FM18" s="1059"/>
      <c r="FN18" s="1059"/>
      <c r="FO18" s="1059"/>
      <c r="FP18" s="1059"/>
      <c r="FQ18" s="1059"/>
      <c r="FR18" s="1059"/>
      <c r="FS18" s="1059"/>
      <c r="FT18" s="1059"/>
      <c r="FU18" s="1059"/>
      <c r="FV18" s="1059"/>
      <c r="FW18" s="1059"/>
      <c r="FX18" s="1059"/>
      <c r="FY18" s="1059"/>
      <c r="FZ18" s="1059"/>
      <c r="GA18" s="1059"/>
      <c r="GB18" s="1059"/>
      <c r="GC18" s="1059"/>
      <c r="GD18" s="1059"/>
      <c r="GE18" s="1059"/>
      <c r="GF18" s="1059"/>
      <c r="GG18" s="1059"/>
      <c r="GH18" s="1059"/>
      <c r="GI18" s="1059"/>
      <c r="GJ18" s="1059"/>
      <c r="GK18" s="1059"/>
      <c r="GL18" s="1059"/>
      <c r="GM18" s="1059"/>
      <c r="GN18" s="1059"/>
      <c r="GO18" s="1059"/>
      <c r="GP18" s="1059"/>
      <c r="GQ18" s="1059"/>
      <c r="GR18" s="1059"/>
      <c r="GS18" s="1059"/>
      <c r="GT18" s="1059"/>
      <c r="GU18" s="1059"/>
      <c r="GV18" s="1059"/>
      <c r="GW18" s="1059"/>
      <c r="GX18" s="1059"/>
      <c r="GY18" s="1059"/>
      <c r="GZ18" s="1059"/>
      <c r="HA18" s="1059"/>
      <c r="HB18" s="1059"/>
      <c r="HC18" s="1059"/>
      <c r="HD18" s="1059"/>
      <c r="HE18" s="1059"/>
      <c r="HF18" s="1059"/>
      <c r="HG18" s="1059"/>
      <c r="HH18" s="1059"/>
      <c r="HI18" s="1059"/>
      <c r="HJ18" s="1059"/>
      <c r="HK18" s="1059"/>
      <c r="HL18" s="1059"/>
      <c r="HM18" s="1059"/>
      <c r="HN18" s="1059"/>
      <c r="HO18" s="1059"/>
      <c r="HP18" s="1059"/>
      <c r="HQ18" s="1059"/>
      <c r="HR18" s="1059"/>
      <c r="HS18" s="1059"/>
      <c r="HT18" s="1059"/>
      <c r="HU18" s="1059"/>
      <c r="HV18" s="1059"/>
      <c r="HW18" s="1059"/>
      <c r="HX18" s="1059"/>
      <c r="HY18" s="1059"/>
      <c r="HZ18" s="1059"/>
      <c r="IA18" s="1059"/>
      <c r="IB18" s="1059"/>
      <c r="IC18" s="1059"/>
      <c r="ID18" s="1059"/>
      <c r="IE18" s="1059"/>
      <c r="IF18" s="1059"/>
      <c r="IG18" s="1059"/>
      <c r="IH18" s="1059"/>
      <c r="II18" s="1059"/>
      <c r="IJ18" s="1059"/>
      <c r="IK18" s="1059"/>
      <c r="IL18" s="1059"/>
      <c r="IM18" s="1059"/>
      <c r="IN18" s="1059"/>
      <c r="IO18" s="1059"/>
      <c r="IP18" s="1059"/>
      <c r="IQ18" s="1059"/>
      <c r="IR18" s="1059"/>
      <c r="IS18" s="1059"/>
      <c r="IT18" s="1059"/>
      <c r="IU18" s="1059"/>
      <c r="IV18" s="1059"/>
    </row>
    <row r="19" s="1058" customFormat="1" ht="33" spans="1:256">
      <c r="A19" s="1070" t="s">
        <v>188</v>
      </c>
      <c r="B19" s="1076">
        <f>B15+B16-B17</f>
        <v>159559</v>
      </c>
      <c r="C19" s="1077">
        <f>C15+C16-C17</f>
        <v>57080</v>
      </c>
      <c r="D19" s="1073">
        <f t="shared" si="5"/>
        <v>0.531863333333333</v>
      </c>
      <c r="E19" s="1074">
        <f t="shared" si="6"/>
        <v>0.35675</v>
      </c>
      <c r="F19" s="1073">
        <f t="shared" si="2"/>
        <v>0.175113333333333</v>
      </c>
      <c r="G19" s="1059"/>
      <c r="H19" s="1059"/>
      <c r="I19" s="1059"/>
      <c r="J19" s="1059"/>
      <c r="K19" s="1059"/>
      <c r="L19" s="1059"/>
      <c r="M19" s="1059"/>
      <c r="N19" s="1059"/>
      <c r="O19" s="1059"/>
      <c r="P19" s="1059"/>
      <c r="Q19" s="1059"/>
      <c r="R19" s="1059"/>
      <c r="S19" s="1059"/>
      <c r="T19" s="1059"/>
      <c r="U19" s="1059"/>
      <c r="V19" s="1059"/>
      <c r="W19" s="1059"/>
      <c r="X19" s="1059"/>
      <c r="Y19" s="1059"/>
      <c r="Z19" s="1059"/>
      <c r="AA19" s="1059"/>
      <c r="AB19" s="1059"/>
      <c r="AC19" s="1059"/>
      <c r="AD19" s="1059"/>
      <c r="AE19" s="1059"/>
      <c r="AF19" s="1059"/>
      <c r="AG19" s="1059"/>
      <c r="AH19" s="1059"/>
      <c r="AI19" s="1059"/>
      <c r="AJ19" s="1059"/>
      <c r="AK19" s="1059"/>
      <c r="AL19" s="1059"/>
      <c r="AM19" s="1059"/>
      <c r="AN19" s="1059"/>
      <c r="AO19" s="1059"/>
      <c r="AP19" s="1059"/>
      <c r="AQ19" s="1059"/>
      <c r="AR19" s="1059"/>
      <c r="AS19" s="1059"/>
      <c r="AT19" s="1059"/>
      <c r="AU19" s="1059"/>
      <c r="AV19" s="1059"/>
      <c r="AW19" s="1059"/>
      <c r="AX19" s="1059"/>
      <c r="AY19" s="1059"/>
      <c r="AZ19" s="1059"/>
      <c r="BA19" s="1059"/>
      <c r="BB19" s="1059"/>
      <c r="BC19" s="1059"/>
      <c r="BD19" s="1059"/>
      <c r="BE19" s="1059"/>
      <c r="BF19" s="1059"/>
      <c r="BG19" s="1059"/>
      <c r="BH19" s="1059"/>
      <c r="BI19" s="1059"/>
      <c r="BJ19" s="1059"/>
      <c r="BK19" s="1059"/>
      <c r="BL19" s="1059"/>
      <c r="BM19" s="1059"/>
      <c r="BN19" s="1059"/>
      <c r="BO19" s="1059"/>
      <c r="BP19" s="1059"/>
      <c r="BQ19" s="1059"/>
      <c r="BR19" s="1059"/>
      <c r="BS19" s="1059"/>
      <c r="BT19" s="1059"/>
      <c r="BU19" s="1059"/>
      <c r="BV19" s="1059"/>
      <c r="BW19" s="1059"/>
      <c r="BX19" s="1059"/>
      <c r="BY19" s="1059"/>
      <c r="BZ19" s="1059"/>
      <c r="CA19" s="1059"/>
      <c r="CB19" s="1059"/>
      <c r="CC19" s="1059"/>
      <c r="CD19" s="1059"/>
      <c r="CE19" s="1059"/>
      <c r="CF19" s="1059"/>
      <c r="CG19" s="1059"/>
      <c r="CH19" s="1059"/>
      <c r="CI19" s="1059"/>
      <c r="CJ19" s="1059"/>
      <c r="CK19" s="1059"/>
      <c r="CL19" s="1059"/>
      <c r="CM19" s="1059"/>
      <c r="CN19" s="1059"/>
      <c r="CO19" s="1059"/>
      <c r="CP19" s="1059"/>
      <c r="CQ19" s="1059"/>
      <c r="CR19" s="1059"/>
      <c r="CS19" s="1059"/>
      <c r="CT19" s="1059"/>
      <c r="CU19" s="1059"/>
      <c r="CV19" s="1059"/>
      <c r="CW19" s="1059"/>
      <c r="CX19" s="1059"/>
      <c r="CY19" s="1059"/>
      <c r="CZ19" s="1059"/>
      <c r="DA19" s="1059"/>
      <c r="DB19" s="1059"/>
      <c r="DC19" s="1059"/>
      <c r="DD19" s="1059"/>
      <c r="DE19" s="1059"/>
      <c r="DF19" s="1059"/>
      <c r="DG19" s="1059"/>
      <c r="DH19" s="1059"/>
      <c r="DI19" s="1059"/>
      <c r="DJ19" s="1059"/>
      <c r="DK19" s="1059"/>
      <c r="DL19" s="1059"/>
      <c r="DM19" s="1059"/>
      <c r="DN19" s="1059"/>
      <c r="DO19" s="1059"/>
      <c r="DP19" s="1059"/>
      <c r="DQ19" s="1059"/>
      <c r="DR19" s="1059"/>
      <c r="DS19" s="1059"/>
      <c r="DT19" s="1059"/>
      <c r="DU19" s="1059"/>
      <c r="DV19" s="1059"/>
      <c r="DW19" s="1059"/>
      <c r="DX19" s="1059"/>
      <c r="DY19" s="1059"/>
      <c r="DZ19" s="1059"/>
      <c r="EA19" s="1059"/>
      <c r="EB19" s="1059"/>
      <c r="EC19" s="1059"/>
      <c r="ED19" s="1059"/>
      <c r="EE19" s="1059"/>
      <c r="EF19" s="1059"/>
      <c r="EG19" s="1059"/>
      <c r="EH19" s="1059"/>
      <c r="EI19" s="1059"/>
      <c r="EJ19" s="1059"/>
      <c r="EK19" s="1059"/>
      <c r="EL19" s="1059"/>
      <c r="EM19" s="1059"/>
      <c r="EN19" s="1059"/>
      <c r="EO19" s="1059"/>
      <c r="EP19" s="1059"/>
      <c r="EQ19" s="1059"/>
      <c r="ER19" s="1059"/>
      <c r="ES19" s="1059"/>
      <c r="ET19" s="1059"/>
      <c r="EU19" s="1059"/>
      <c r="EV19" s="1059"/>
      <c r="EW19" s="1059"/>
      <c r="EX19" s="1059"/>
      <c r="EY19" s="1059"/>
      <c r="EZ19" s="1059"/>
      <c r="FA19" s="1059"/>
      <c r="FB19" s="1059"/>
      <c r="FC19" s="1059"/>
      <c r="FD19" s="1059"/>
      <c r="FE19" s="1059"/>
      <c r="FF19" s="1059"/>
      <c r="FG19" s="1059"/>
      <c r="FH19" s="1059"/>
      <c r="FI19" s="1059"/>
      <c r="FJ19" s="1059"/>
      <c r="FK19" s="1059"/>
      <c r="FL19" s="1059"/>
      <c r="FM19" s="1059"/>
      <c r="FN19" s="1059"/>
      <c r="FO19" s="1059"/>
      <c r="FP19" s="1059"/>
      <c r="FQ19" s="1059"/>
      <c r="FR19" s="1059"/>
      <c r="FS19" s="1059"/>
      <c r="FT19" s="1059"/>
      <c r="FU19" s="1059"/>
      <c r="FV19" s="1059"/>
      <c r="FW19" s="1059"/>
      <c r="FX19" s="1059"/>
      <c r="FY19" s="1059"/>
      <c r="FZ19" s="1059"/>
      <c r="GA19" s="1059"/>
      <c r="GB19" s="1059"/>
      <c r="GC19" s="1059"/>
      <c r="GD19" s="1059"/>
      <c r="GE19" s="1059"/>
      <c r="GF19" s="1059"/>
      <c r="GG19" s="1059"/>
      <c r="GH19" s="1059"/>
      <c r="GI19" s="1059"/>
      <c r="GJ19" s="1059"/>
      <c r="GK19" s="1059"/>
      <c r="GL19" s="1059"/>
      <c r="GM19" s="1059"/>
      <c r="GN19" s="1059"/>
      <c r="GO19" s="1059"/>
      <c r="GP19" s="1059"/>
      <c r="GQ19" s="1059"/>
      <c r="GR19" s="1059"/>
      <c r="GS19" s="1059"/>
      <c r="GT19" s="1059"/>
      <c r="GU19" s="1059"/>
      <c r="GV19" s="1059"/>
      <c r="GW19" s="1059"/>
      <c r="GX19" s="1059"/>
      <c r="GY19" s="1059"/>
      <c r="GZ19" s="1059"/>
      <c r="HA19" s="1059"/>
      <c r="HB19" s="1059"/>
      <c r="HC19" s="1059"/>
      <c r="HD19" s="1059"/>
      <c r="HE19" s="1059"/>
      <c r="HF19" s="1059"/>
      <c r="HG19" s="1059"/>
      <c r="HH19" s="1059"/>
      <c r="HI19" s="1059"/>
      <c r="HJ19" s="1059"/>
      <c r="HK19" s="1059"/>
      <c r="HL19" s="1059"/>
      <c r="HM19" s="1059"/>
      <c r="HN19" s="1059"/>
      <c r="HO19" s="1059"/>
      <c r="HP19" s="1059"/>
      <c r="HQ19" s="1059"/>
      <c r="HR19" s="1059"/>
      <c r="HS19" s="1059"/>
      <c r="HT19" s="1059"/>
      <c r="HU19" s="1059"/>
      <c r="HV19" s="1059"/>
      <c r="HW19" s="1059"/>
      <c r="HX19" s="1059"/>
      <c r="HY19" s="1059"/>
      <c r="HZ19" s="1059"/>
      <c r="IA19" s="1059"/>
      <c r="IB19" s="1059"/>
      <c r="IC19" s="1059"/>
      <c r="ID19" s="1059"/>
      <c r="IE19" s="1059"/>
      <c r="IF19" s="1059"/>
      <c r="IG19" s="1059"/>
      <c r="IH19" s="1059"/>
      <c r="II19" s="1059"/>
      <c r="IJ19" s="1059"/>
      <c r="IK19" s="1059"/>
      <c r="IL19" s="1059"/>
      <c r="IM19" s="1059"/>
      <c r="IN19" s="1059"/>
      <c r="IO19" s="1059"/>
      <c r="IP19" s="1059"/>
      <c r="IQ19" s="1059"/>
      <c r="IR19" s="1059"/>
      <c r="IS19" s="1059"/>
      <c r="IT19" s="1059"/>
      <c r="IU19" s="1059"/>
      <c r="IV19" s="1059"/>
    </row>
    <row r="20" s="1058" customFormat="1" ht="16.5" spans="1:256">
      <c r="A20" s="1075" t="s">
        <v>189</v>
      </c>
      <c r="B20" s="1078">
        <v>666</v>
      </c>
      <c r="C20" s="1078"/>
      <c r="D20" s="1073">
        <f t="shared" si="5"/>
        <v>0.00222</v>
      </c>
      <c r="E20" s="1074">
        <f t="shared" si="6"/>
        <v>0</v>
      </c>
      <c r="F20" s="1073">
        <f t="shared" si="2"/>
        <v>0.00222</v>
      </c>
      <c r="G20" s="1059"/>
      <c r="H20" s="1059"/>
      <c r="I20" s="1059"/>
      <c r="J20" s="1059"/>
      <c r="K20" s="1059"/>
      <c r="L20" s="1059"/>
      <c r="M20" s="1059"/>
      <c r="N20" s="1059"/>
      <c r="O20" s="1059"/>
      <c r="P20" s="1059"/>
      <c r="Q20" s="1059"/>
      <c r="R20" s="1059"/>
      <c r="S20" s="1059"/>
      <c r="T20" s="1059"/>
      <c r="U20" s="1059"/>
      <c r="V20" s="1059"/>
      <c r="W20" s="1059"/>
      <c r="X20" s="1059"/>
      <c r="Y20" s="1059"/>
      <c r="Z20" s="1059"/>
      <c r="AA20" s="1059"/>
      <c r="AB20" s="1059"/>
      <c r="AC20" s="1059"/>
      <c r="AD20" s="1059"/>
      <c r="AE20" s="1059"/>
      <c r="AF20" s="1059"/>
      <c r="AG20" s="1059"/>
      <c r="AH20" s="1059"/>
      <c r="AI20" s="1059"/>
      <c r="AJ20" s="1059"/>
      <c r="AK20" s="1059"/>
      <c r="AL20" s="1059"/>
      <c r="AM20" s="1059"/>
      <c r="AN20" s="1059"/>
      <c r="AO20" s="1059"/>
      <c r="AP20" s="1059"/>
      <c r="AQ20" s="1059"/>
      <c r="AR20" s="1059"/>
      <c r="AS20" s="1059"/>
      <c r="AT20" s="1059"/>
      <c r="AU20" s="1059"/>
      <c r="AV20" s="1059"/>
      <c r="AW20" s="1059"/>
      <c r="AX20" s="1059"/>
      <c r="AY20" s="1059"/>
      <c r="AZ20" s="1059"/>
      <c r="BA20" s="1059"/>
      <c r="BB20" s="1059"/>
      <c r="BC20" s="1059"/>
      <c r="BD20" s="1059"/>
      <c r="BE20" s="1059"/>
      <c r="BF20" s="1059"/>
      <c r="BG20" s="1059"/>
      <c r="BH20" s="1059"/>
      <c r="BI20" s="1059"/>
      <c r="BJ20" s="1059"/>
      <c r="BK20" s="1059"/>
      <c r="BL20" s="1059"/>
      <c r="BM20" s="1059"/>
      <c r="BN20" s="1059"/>
      <c r="BO20" s="1059"/>
      <c r="BP20" s="1059"/>
      <c r="BQ20" s="1059"/>
      <c r="BR20" s="1059"/>
      <c r="BS20" s="1059"/>
      <c r="BT20" s="1059"/>
      <c r="BU20" s="1059"/>
      <c r="BV20" s="1059"/>
      <c r="BW20" s="1059"/>
      <c r="BX20" s="1059"/>
      <c r="BY20" s="1059"/>
      <c r="BZ20" s="1059"/>
      <c r="CA20" s="1059"/>
      <c r="CB20" s="1059"/>
      <c r="CC20" s="1059"/>
      <c r="CD20" s="1059"/>
      <c r="CE20" s="1059"/>
      <c r="CF20" s="1059"/>
      <c r="CG20" s="1059"/>
      <c r="CH20" s="1059"/>
      <c r="CI20" s="1059"/>
      <c r="CJ20" s="1059"/>
      <c r="CK20" s="1059"/>
      <c r="CL20" s="1059"/>
      <c r="CM20" s="1059"/>
      <c r="CN20" s="1059"/>
      <c r="CO20" s="1059"/>
      <c r="CP20" s="1059"/>
      <c r="CQ20" s="1059"/>
      <c r="CR20" s="1059"/>
      <c r="CS20" s="1059"/>
      <c r="CT20" s="1059"/>
      <c r="CU20" s="1059"/>
      <c r="CV20" s="1059"/>
      <c r="CW20" s="1059"/>
      <c r="CX20" s="1059"/>
      <c r="CY20" s="1059"/>
      <c r="CZ20" s="1059"/>
      <c r="DA20" s="1059"/>
      <c r="DB20" s="1059"/>
      <c r="DC20" s="1059"/>
      <c r="DD20" s="1059"/>
      <c r="DE20" s="1059"/>
      <c r="DF20" s="1059"/>
      <c r="DG20" s="1059"/>
      <c r="DH20" s="1059"/>
      <c r="DI20" s="1059"/>
      <c r="DJ20" s="1059"/>
      <c r="DK20" s="1059"/>
      <c r="DL20" s="1059"/>
      <c r="DM20" s="1059"/>
      <c r="DN20" s="1059"/>
      <c r="DO20" s="1059"/>
      <c r="DP20" s="1059"/>
      <c r="DQ20" s="1059"/>
      <c r="DR20" s="1059"/>
      <c r="DS20" s="1059"/>
      <c r="DT20" s="1059"/>
      <c r="DU20" s="1059"/>
      <c r="DV20" s="1059"/>
      <c r="DW20" s="1059"/>
      <c r="DX20" s="1059"/>
      <c r="DY20" s="1059"/>
      <c r="DZ20" s="1059"/>
      <c r="EA20" s="1059"/>
      <c r="EB20" s="1059"/>
      <c r="EC20" s="1059"/>
      <c r="ED20" s="1059"/>
      <c r="EE20" s="1059"/>
      <c r="EF20" s="1059"/>
      <c r="EG20" s="1059"/>
      <c r="EH20" s="1059"/>
      <c r="EI20" s="1059"/>
      <c r="EJ20" s="1059"/>
      <c r="EK20" s="1059"/>
      <c r="EL20" s="1059"/>
      <c r="EM20" s="1059"/>
      <c r="EN20" s="1059"/>
      <c r="EO20" s="1059"/>
      <c r="EP20" s="1059"/>
      <c r="EQ20" s="1059"/>
      <c r="ER20" s="1059"/>
      <c r="ES20" s="1059"/>
      <c r="ET20" s="1059"/>
      <c r="EU20" s="1059"/>
      <c r="EV20" s="1059"/>
      <c r="EW20" s="1059"/>
      <c r="EX20" s="1059"/>
      <c r="EY20" s="1059"/>
      <c r="EZ20" s="1059"/>
      <c r="FA20" s="1059"/>
      <c r="FB20" s="1059"/>
      <c r="FC20" s="1059"/>
      <c r="FD20" s="1059"/>
      <c r="FE20" s="1059"/>
      <c r="FF20" s="1059"/>
      <c r="FG20" s="1059"/>
      <c r="FH20" s="1059"/>
      <c r="FI20" s="1059"/>
      <c r="FJ20" s="1059"/>
      <c r="FK20" s="1059"/>
      <c r="FL20" s="1059"/>
      <c r="FM20" s="1059"/>
      <c r="FN20" s="1059"/>
      <c r="FO20" s="1059"/>
      <c r="FP20" s="1059"/>
      <c r="FQ20" s="1059"/>
      <c r="FR20" s="1059"/>
      <c r="FS20" s="1059"/>
      <c r="FT20" s="1059"/>
      <c r="FU20" s="1059"/>
      <c r="FV20" s="1059"/>
      <c r="FW20" s="1059"/>
      <c r="FX20" s="1059"/>
      <c r="FY20" s="1059"/>
      <c r="FZ20" s="1059"/>
      <c r="GA20" s="1059"/>
      <c r="GB20" s="1059"/>
      <c r="GC20" s="1059"/>
      <c r="GD20" s="1059"/>
      <c r="GE20" s="1059"/>
      <c r="GF20" s="1059"/>
      <c r="GG20" s="1059"/>
      <c r="GH20" s="1059"/>
      <c r="GI20" s="1059"/>
      <c r="GJ20" s="1059"/>
      <c r="GK20" s="1059"/>
      <c r="GL20" s="1059"/>
      <c r="GM20" s="1059"/>
      <c r="GN20" s="1059"/>
      <c r="GO20" s="1059"/>
      <c r="GP20" s="1059"/>
      <c r="GQ20" s="1059"/>
      <c r="GR20" s="1059"/>
      <c r="GS20" s="1059"/>
      <c r="GT20" s="1059"/>
      <c r="GU20" s="1059"/>
      <c r="GV20" s="1059"/>
      <c r="GW20" s="1059"/>
      <c r="GX20" s="1059"/>
      <c r="GY20" s="1059"/>
      <c r="GZ20" s="1059"/>
      <c r="HA20" s="1059"/>
      <c r="HB20" s="1059"/>
      <c r="HC20" s="1059"/>
      <c r="HD20" s="1059"/>
      <c r="HE20" s="1059"/>
      <c r="HF20" s="1059"/>
      <c r="HG20" s="1059"/>
      <c r="HH20" s="1059"/>
      <c r="HI20" s="1059"/>
      <c r="HJ20" s="1059"/>
      <c r="HK20" s="1059"/>
      <c r="HL20" s="1059"/>
      <c r="HM20" s="1059"/>
      <c r="HN20" s="1059"/>
      <c r="HO20" s="1059"/>
      <c r="HP20" s="1059"/>
      <c r="HQ20" s="1059"/>
      <c r="HR20" s="1059"/>
      <c r="HS20" s="1059"/>
      <c r="HT20" s="1059"/>
      <c r="HU20" s="1059"/>
      <c r="HV20" s="1059"/>
      <c r="HW20" s="1059"/>
      <c r="HX20" s="1059"/>
      <c r="HY20" s="1059"/>
      <c r="HZ20" s="1059"/>
      <c r="IA20" s="1059"/>
      <c r="IB20" s="1059"/>
      <c r="IC20" s="1059"/>
      <c r="ID20" s="1059"/>
      <c r="IE20" s="1059"/>
      <c r="IF20" s="1059"/>
      <c r="IG20" s="1059"/>
      <c r="IH20" s="1059"/>
      <c r="II20" s="1059"/>
      <c r="IJ20" s="1059"/>
      <c r="IK20" s="1059"/>
      <c r="IL20" s="1059"/>
      <c r="IM20" s="1059"/>
      <c r="IN20" s="1059"/>
      <c r="IO20" s="1059"/>
      <c r="IP20" s="1059"/>
      <c r="IQ20" s="1059"/>
      <c r="IR20" s="1059"/>
      <c r="IS20" s="1059"/>
      <c r="IT20" s="1059"/>
      <c r="IU20" s="1059"/>
      <c r="IV20" s="1059"/>
    </row>
    <row r="21" s="1058" customFormat="1" ht="33" spans="1:256">
      <c r="A21" s="1070" t="s">
        <v>190</v>
      </c>
      <c r="B21" s="1076">
        <f>B19-B20</f>
        <v>158893</v>
      </c>
      <c r="C21" s="1076">
        <f>C19-C20</f>
        <v>57080</v>
      </c>
      <c r="D21" s="1073">
        <f t="shared" si="5"/>
        <v>0.529643333333333</v>
      </c>
      <c r="E21" s="1074">
        <f t="shared" si="6"/>
        <v>0.35675</v>
      </c>
      <c r="F21" s="1073">
        <f t="shared" si="2"/>
        <v>0.172893333333333</v>
      </c>
      <c r="G21" s="1059"/>
      <c r="H21" s="1059"/>
      <c r="I21" s="1059"/>
      <c r="J21" s="1059"/>
      <c r="K21" s="1059"/>
      <c r="L21" s="1059"/>
      <c r="M21" s="1059"/>
      <c r="N21" s="1059"/>
      <c r="O21" s="1059"/>
      <c r="P21" s="1059"/>
      <c r="Q21" s="1059"/>
      <c r="R21" s="1059"/>
      <c r="S21" s="1059"/>
      <c r="T21" s="1059"/>
      <c r="U21" s="1059"/>
      <c r="V21" s="1059"/>
      <c r="W21" s="1059"/>
      <c r="X21" s="1059"/>
      <c r="Y21" s="1059"/>
      <c r="Z21" s="1059"/>
      <c r="AA21" s="1059"/>
      <c r="AB21" s="1059"/>
      <c r="AC21" s="1059"/>
      <c r="AD21" s="1059"/>
      <c r="AE21" s="1059"/>
      <c r="AF21" s="1059"/>
      <c r="AG21" s="1059"/>
      <c r="AH21" s="1059"/>
      <c r="AI21" s="1059"/>
      <c r="AJ21" s="1059"/>
      <c r="AK21" s="1059"/>
      <c r="AL21" s="1059"/>
      <c r="AM21" s="1059"/>
      <c r="AN21" s="1059"/>
      <c r="AO21" s="1059"/>
      <c r="AP21" s="1059"/>
      <c r="AQ21" s="1059"/>
      <c r="AR21" s="1059"/>
      <c r="AS21" s="1059"/>
      <c r="AT21" s="1059"/>
      <c r="AU21" s="1059"/>
      <c r="AV21" s="1059"/>
      <c r="AW21" s="1059"/>
      <c r="AX21" s="1059"/>
      <c r="AY21" s="1059"/>
      <c r="AZ21" s="1059"/>
      <c r="BA21" s="1059"/>
      <c r="BB21" s="1059"/>
      <c r="BC21" s="1059"/>
      <c r="BD21" s="1059"/>
      <c r="BE21" s="1059"/>
      <c r="BF21" s="1059"/>
      <c r="BG21" s="1059"/>
      <c r="BH21" s="1059"/>
      <c r="BI21" s="1059"/>
      <c r="BJ21" s="1059"/>
      <c r="BK21" s="1059"/>
      <c r="BL21" s="1059"/>
      <c r="BM21" s="1059"/>
      <c r="BN21" s="1059"/>
      <c r="BO21" s="1059"/>
      <c r="BP21" s="1059"/>
      <c r="BQ21" s="1059"/>
      <c r="BR21" s="1059"/>
      <c r="BS21" s="1059"/>
      <c r="BT21" s="1059"/>
      <c r="BU21" s="1059"/>
      <c r="BV21" s="1059"/>
      <c r="BW21" s="1059"/>
      <c r="BX21" s="1059"/>
      <c r="BY21" s="1059"/>
      <c r="BZ21" s="1059"/>
      <c r="CA21" s="1059"/>
      <c r="CB21" s="1059"/>
      <c r="CC21" s="1059"/>
      <c r="CD21" s="1059"/>
      <c r="CE21" s="1059"/>
      <c r="CF21" s="1059"/>
      <c r="CG21" s="1059"/>
      <c r="CH21" s="1059"/>
      <c r="CI21" s="1059"/>
      <c r="CJ21" s="1059"/>
      <c r="CK21" s="1059"/>
      <c r="CL21" s="1059"/>
      <c r="CM21" s="1059"/>
      <c r="CN21" s="1059"/>
      <c r="CO21" s="1059"/>
      <c r="CP21" s="1059"/>
      <c r="CQ21" s="1059"/>
      <c r="CR21" s="1059"/>
      <c r="CS21" s="1059"/>
      <c r="CT21" s="1059"/>
      <c r="CU21" s="1059"/>
      <c r="CV21" s="1059"/>
      <c r="CW21" s="1059"/>
      <c r="CX21" s="1059"/>
      <c r="CY21" s="1059"/>
      <c r="CZ21" s="1059"/>
      <c r="DA21" s="1059"/>
      <c r="DB21" s="1059"/>
      <c r="DC21" s="1059"/>
      <c r="DD21" s="1059"/>
      <c r="DE21" s="1059"/>
      <c r="DF21" s="1059"/>
      <c r="DG21" s="1059"/>
      <c r="DH21" s="1059"/>
      <c r="DI21" s="1059"/>
      <c r="DJ21" s="1059"/>
      <c r="DK21" s="1059"/>
      <c r="DL21" s="1059"/>
      <c r="DM21" s="1059"/>
      <c r="DN21" s="1059"/>
      <c r="DO21" s="1059"/>
      <c r="DP21" s="1059"/>
      <c r="DQ21" s="1059"/>
      <c r="DR21" s="1059"/>
      <c r="DS21" s="1059"/>
      <c r="DT21" s="1059"/>
      <c r="DU21" s="1059"/>
      <c r="DV21" s="1059"/>
      <c r="DW21" s="1059"/>
      <c r="DX21" s="1059"/>
      <c r="DY21" s="1059"/>
      <c r="DZ21" s="1059"/>
      <c r="EA21" s="1059"/>
      <c r="EB21" s="1059"/>
      <c r="EC21" s="1059"/>
      <c r="ED21" s="1059"/>
      <c r="EE21" s="1059"/>
      <c r="EF21" s="1059"/>
      <c r="EG21" s="1059"/>
      <c r="EH21" s="1059"/>
      <c r="EI21" s="1059"/>
      <c r="EJ21" s="1059"/>
      <c r="EK21" s="1059"/>
      <c r="EL21" s="1059"/>
      <c r="EM21" s="1059"/>
      <c r="EN21" s="1059"/>
      <c r="EO21" s="1059"/>
      <c r="EP21" s="1059"/>
      <c r="EQ21" s="1059"/>
      <c r="ER21" s="1059"/>
      <c r="ES21" s="1059"/>
      <c r="ET21" s="1059"/>
      <c r="EU21" s="1059"/>
      <c r="EV21" s="1059"/>
      <c r="EW21" s="1059"/>
      <c r="EX21" s="1059"/>
      <c r="EY21" s="1059"/>
      <c r="EZ21" s="1059"/>
      <c r="FA21" s="1059"/>
      <c r="FB21" s="1059"/>
      <c r="FC21" s="1059"/>
      <c r="FD21" s="1059"/>
      <c r="FE21" s="1059"/>
      <c r="FF21" s="1059"/>
      <c r="FG21" s="1059"/>
      <c r="FH21" s="1059"/>
      <c r="FI21" s="1059"/>
      <c r="FJ21" s="1059"/>
      <c r="FK21" s="1059"/>
      <c r="FL21" s="1059"/>
      <c r="FM21" s="1059"/>
      <c r="FN21" s="1059"/>
      <c r="FO21" s="1059"/>
      <c r="FP21" s="1059"/>
      <c r="FQ21" s="1059"/>
      <c r="FR21" s="1059"/>
      <c r="FS21" s="1059"/>
      <c r="FT21" s="1059"/>
      <c r="FU21" s="1059"/>
      <c r="FV21" s="1059"/>
      <c r="FW21" s="1059"/>
      <c r="FX21" s="1059"/>
      <c r="FY21" s="1059"/>
      <c r="FZ21" s="1059"/>
      <c r="GA21" s="1059"/>
      <c r="GB21" s="1059"/>
      <c r="GC21" s="1059"/>
      <c r="GD21" s="1059"/>
      <c r="GE21" s="1059"/>
      <c r="GF21" s="1059"/>
      <c r="GG21" s="1059"/>
      <c r="GH21" s="1059"/>
      <c r="GI21" s="1059"/>
      <c r="GJ21" s="1059"/>
      <c r="GK21" s="1059"/>
      <c r="GL21" s="1059"/>
      <c r="GM21" s="1059"/>
      <c r="GN21" s="1059"/>
      <c r="GO21" s="1059"/>
      <c r="GP21" s="1059"/>
      <c r="GQ21" s="1059"/>
      <c r="GR21" s="1059"/>
      <c r="GS21" s="1059"/>
      <c r="GT21" s="1059"/>
      <c r="GU21" s="1059"/>
      <c r="GV21" s="1059"/>
      <c r="GW21" s="1059"/>
      <c r="GX21" s="1059"/>
      <c r="GY21" s="1059"/>
      <c r="GZ21" s="1059"/>
      <c r="HA21" s="1059"/>
      <c r="HB21" s="1059"/>
      <c r="HC21" s="1059"/>
      <c r="HD21" s="1059"/>
      <c r="HE21" s="1059"/>
      <c r="HF21" s="1059"/>
      <c r="HG21" s="1059"/>
      <c r="HH21" s="1059"/>
      <c r="HI21" s="1059"/>
      <c r="HJ21" s="1059"/>
      <c r="HK21" s="1059"/>
      <c r="HL21" s="1059"/>
      <c r="HM21" s="1059"/>
      <c r="HN21" s="1059"/>
      <c r="HO21" s="1059"/>
      <c r="HP21" s="1059"/>
      <c r="HQ21" s="1059"/>
      <c r="HR21" s="1059"/>
      <c r="HS21" s="1059"/>
      <c r="HT21" s="1059"/>
      <c r="HU21" s="1059"/>
      <c r="HV21" s="1059"/>
      <c r="HW21" s="1059"/>
      <c r="HX21" s="1059"/>
      <c r="HY21" s="1059"/>
      <c r="HZ21" s="1059"/>
      <c r="IA21" s="1059"/>
      <c r="IB21" s="1059"/>
      <c r="IC21" s="1059"/>
      <c r="ID21" s="1059"/>
      <c r="IE21" s="1059"/>
      <c r="IF21" s="1059"/>
      <c r="IG21" s="1059"/>
      <c r="IH21" s="1059"/>
      <c r="II21" s="1059"/>
      <c r="IJ21" s="1059"/>
      <c r="IK21" s="1059"/>
      <c r="IL21" s="1059"/>
      <c r="IM21" s="1059"/>
      <c r="IN21" s="1059"/>
      <c r="IO21" s="1059"/>
      <c r="IP21" s="1059"/>
      <c r="IQ21" s="1059"/>
      <c r="IR21" s="1059"/>
      <c r="IS21" s="1059"/>
      <c r="IT21" s="1059"/>
      <c r="IU21" s="1059"/>
      <c r="IV21" s="1059"/>
    </row>
    <row r="22" s="1058" customFormat="1" ht="16.5" spans="1:256">
      <c r="A22" s="1070" t="s">
        <v>191</v>
      </c>
      <c r="B22" s="1071"/>
      <c r="C22" s="1072"/>
      <c r="D22" s="1079" t="s">
        <v>192</v>
      </c>
      <c r="E22" s="1079"/>
      <c r="F22" s="1079"/>
      <c r="G22" s="1059"/>
      <c r="H22" s="1059"/>
      <c r="I22" s="1059"/>
      <c r="J22" s="1059"/>
      <c r="K22" s="1059"/>
      <c r="L22" s="1059"/>
      <c r="M22" s="1059"/>
      <c r="N22" s="1059"/>
      <c r="O22" s="1059"/>
      <c r="P22" s="1059"/>
      <c r="Q22" s="1059"/>
      <c r="R22" s="1059"/>
      <c r="S22" s="1059"/>
      <c r="T22" s="1059"/>
      <c r="U22" s="1059"/>
      <c r="V22" s="1059"/>
      <c r="W22" s="1059"/>
      <c r="X22" s="1059"/>
      <c r="Y22" s="1059"/>
      <c r="Z22" s="1059"/>
      <c r="AA22" s="1059"/>
      <c r="AB22" s="1059"/>
      <c r="AC22" s="1059"/>
      <c r="AD22" s="1059"/>
      <c r="AE22" s="1059"/>
      <c r="AF22" s="1059"/>
      <c r="AG22" s="1059"/>
      <c r="AH22" s="1059"/>
      <c r="AI22" s="1059"/>
      <c r="AJ22" s="1059"/>
      <c r="AK22" s="1059"/>
      <c r="AL22" s="1059"/>
      <c r="AM22" s="1059"/>
      <c r="AN22" s="1059"/>
      <c r="AO22" s="1059"/>
      <c r="AP22" s="1059"/>
      <c r="AQ22" s="1059"/>
      <c r="AR22" s="1059"/>
      <c r="AS22" s="1059"/>
      <c r="AT22" s="1059"/>
      <c r="AU22" s="1059"/>
      <c r="AV22" s="1059"/>
      <c r="AW22" s="1059"/>
      <c r="AX22" s="1059"/>
      <c r="AY22" s="1059"/>
      <c r="AZ22" s="1059"/>
      <c r="BA22" s="1059"/>
      <c r="BB22" s="1059"/>
      <c r="BC22" s="1059"/>
      <c r="BD22" s="1059"/>
      <c r="BE22" s="1059"/>
      <c r="BF22" s="1059"/>
      <c r="BG22" s="1059"/>
      <c r="BH22" s="1059"/>
      <c r="BI22" s="1059"/>
      <c r="BJ22" s="1059"/>
      <c r="BK22" s="1059"/>
      <c r="BL22" s="1059"/>
      <c r="BM22" s="1059"/>
      <c r="BN22" s="1059"/>
      <c r="BO22" s="1059"/>
      <c r="BP22" s="1059"/>
      <c r="BQ22" s="1059"/>
      <c r="BR22" s="1059"/>
      <c r="BS22" s="1059"/>
      <c r="BT22" s="1059"/>
      <c r="BU22" s="1059"/>
      <c r="BV22" s="1059"/>
      <c r="BW22" s="1059"/>
      <c r="BX22" s="1059"/>
      <c r="BY22" s="1059"/>
      <c r="BZ22" s="1059"/>
      <c r="CA22" s="1059"/>
      <c r="CB22" s="1059"/>
      <c r="CC22" s="1059"/>
      <c r="CD22" s="1059"/>
      <c r="CE22" s="1059"/>
      <c r="CF22" s="1059"/>
      <c r="CG22" s="1059"/>
      <c r="CH22" s="1059"/>
      <c r="CI22" s="1059"/>
      <c r="CJ22" s="1059"/>
      <c r="CK22" s="1059"/>
      <c r="CL22" s="1059"/>
      <c r="CM22" s="1059"/>
      <c r="CN22" s="1059"/>
      <c r="CO22" s="1059"/>
      <c r="CP22" s="1059"/>
      <c r="CQ22" s="1059"/>
      <c r="CR22" s="1059"/>
      <c r="CS22" s="1059"/>
      <c r="CT22" s="1059"/>
      <c r="CU22" s="1059"/>
      <c r="CV22" s="1059"/>
      <c r="CW22" s="1059"/>
      <c r="CX22" s="1059"/>
      <c r="CY22" s="1059"/>
      <c r="CZ22" s="1059"/>
      <c r="DA22" s="1059"/>
      <c r="DB22" s="1059"/>
      <c r="DC22" s="1059"/>
      <c r="DD22" s="1059"/>
      <c r="DE22" s="1059"/>
      <c r="DF22" s="1059"/>
      <c r="DG22" s="1059"/>
      <c r="DH22" s="1059"/>
      <c r="DI22" s="1059"/>
      <c r="DJ22" s="1059"/>
      <c r="DK22" s="1059"/>
      <c r="DL22" s="1059"/>
      <c r="DM22" s="1059"/>
      <c r="DN22" s="1059"/>
      <c r="DO22" s="1059"/>
      <c r="DP22" s="1059"/>
      <c r="DQ22" s="1059"/>
      <c r="DR22" s="1059"/>
      <c r="DS22" s="1059"/>
      <c r="DT22" s="1059"/>
      <c r="DU22" s="1059"/>
      <c r="DV22" s="1059"/>
      <c r="DW22" s="1059"/>
      <c r="DX22" s="1059"/>
      <c r="DY22" s="1059"/>
      <c r="DZ22" s="1059"/>
      <c r="EA22" s="1059"/>
      <c r="EB22" s="1059"/>
      <c r="EC22" s="1059"/>
      <c r="ED22" s="1059"/>
      <c r="EE22" s="1059"/>
      <c r="EF22" s="1059"/>
      <c r="EG22" s="1059"/>
      <c r="EH22" s="1059"/>
      <c r="EI22" s="1059"/>
      <c r="EJ22" s="1059"/>
      <c r="EK22" s="1059"/>
      <c r="EL22" s="1059"/>
      <c r="EM22" s="1059"/>
      <c r="EN22" s="1059"/>
      <c r="EO22" s="1059"/>
      <c r="EP22" s="1059"/>
      <c r="EQ22" s="1059"/>
      <c r="ER22" s="1059"/>
      <c r="ES22" s="1059"/>
      <c r="ET22" s="1059"/>
      <c r="EU22" s="1059"/>
      <c r="EV22" s="1059"/>
      <c r="EW22" s="1059"/>
      <c r="EX22" s="1059"/>
      <c r="EY22" s="1059"/>
      <c r="EZ22" s="1059"/>
      <c r="FA22" s="1059"/>
      <c r="FB22" s="1059"/>
      <c r="FC22" s="1059"/>
      <c r="FD22" s="1059"/>
      <c r="FE22" s="1059"/>
      <c r="FF22" s="1059"/>
      <c r="FG22" s="1059"/>
      <c r="FH22" s="1059"/>
      <c r="FI22" s="1059"/>
      <c r="FJ22" s="1059"/>
      <c r="FK22" s="1059"/>
      <c r="FL22" s="1059"/>
      <c r="FM22" s="1059"/>
      <c r="FN22" s="1059"/>
      <c r="FO22" s="1059"/>
      <c r="FP22" s="1059"/>
      <c r="FQ22" s="1059"/>
      <c r="FR22" s="1059"/>
      <c r="FS22" s="1059"/>
      <c r="FT22" s="1059"/>
      <c r="FU22" s="1059"/>
      <c r="FV22" s="1059"/>
      <c r="FW22" s="1059"/>
      <c r="FX22" s="1059"/>
      <c r="FY22" s="1059"/>
      <c r="FZ22" s="1059"/>
      <c r="GA22" s="1059"/>
      <c r="GB22" s="1059"/>
      <c r="GC22" s="1059"/>
      <c r="GD22" s="1059"/>
      <c r="GE22" s="1059"/>
      <c r="GF22" s="1059"/>
      <c r="GG22" s="1059"/>
      <c r="GH22" s="1059"/>
      <c r="GI22" s="1059"/>
      <c r="GJ22" s="1059"/>
      <c r="GK22" s="1059"/>
      <c r="GL22" s="1059"/>
      <c r="GM22" s="1059"/>
      <c r="GN22" s="1059"/>
      <c r="GO22" s="1059"/>
      <c r="GP22" s="1059"/>
      <c r="GQ22" s="1059"/>
      <c r="GR22" s="1059"/>
      <c r="GS22" s="1059"/>
      <c r="GT22" s="1059"/>
      <c r="GU22" s="1059"/>
      <c r="GV22" s="1059"/>
      <c r="GW22" s="1059"/>
      <c r="GX22" s="1059"/>
      <c r="GY22" s="1059"/>
      <c r="GZ22" s="1059"/>
      <c r="HA22" s="1059"/>
      <c r="HB22" s="1059"/>
      <c r="HC22" s="1059"/>
      <c r="HD22" s="1059"/>
      <c r="HE22" s="1059"/>
      <c r="HF22" s="1059"/>
      <c r="HG22" s="1059"/>
      <c r="HH22" s="1059"/>
      <c r="HI22" s="1059"/>
      <c r="HJ22" s="1059"/>
      <c r="HK22" s="1059"/>
      <c r="HL22" s="1059"/>
      <c r="HM22" s="1059"/>
      <c r="HN22" s="1059"/>
      <c r="HO22" s="1059"/>
      <c r="HP22" s="1059"/>
      <c r="HQ22" s="1059"/>
      <c r="HR22" s="1059"/>
      <c r="HS22" s="1059"/>
      <c r="HT22" s="1059"/>
      <c r="HU22" s="1059"/>
      <c r="HV22" s="1059"/>
      <c r="HW22" s="1059"/>
      <c r="HX22" s="1059"/>
      <c r="HY22" s="1059"/>
      <c r="HZ22" s="1059"/>
      <c r="IA22" s="1059"/>
      <c r="IB22" s="1059"/>
      <c r="IC22" s="1059"/>
      <c r="ID22" s="1059"/>
      <c r="IE22" s="1059"/>
      <c r="IF22" s="1059"/>
      <c r="IG22" s="1059"/>
      <c r="IH22" s="1059"/>
      <c r="II22" s="1059"/>
      <c r="IJ22" s="1059"/>
      <c r="IK22" s="1059"/>
      <c r="IL22" s="1059"/>
      <c r="IM22" s="1059"/>
      <c r="IN22" s="1059"/>
      <c r="IO22" s="1059"/>
      <c r="IP22" s="1059"/>
      <c r="IQ22" s="1059"/>
      <c r="IR22" s="1059"/>
      <c r="IS22" s="1059"/>
      <c r="IT22" s="1059"/>
      <c r="IU22" s="1059"/>
      <c r="IV22" s="1059"/>
    </row>
    <row r="23" s="1058" customFormat="1" ht="16.5" spans="1:256">
      <c r="A23" s="1075" t="s">
        <v>193</v>
      </c>
      <c r="B23" s="1071"/>
      <c r="C23" s="1072"/>
      <c r="D23" s="1079"/>
      <c r="E23" s="1079"/>
      <c r="F23" s="1079"/>
      <c r="G23" s="1059"/>
      <c r="H23" s="1059"/>
      <c r="I23" s="1059"/>
      <c r="J23" s="1059"/>
      <c r="K23" s="1059"/>
      <c r="L23" s="1059"/>
      <c r="M23" s="1059"/>
      <c r="N23" s="1059"/>
      <c r="O23" s="1059"/>
      <c r="P23" s="1059"/>
      <c r="Q23" s="1059"/>
      <c r="R23" s="1059"/>
      <c r="S23" s="1059"/>
      <c r="T23" s="1059"/>
      <c r="U23" s="1059"/>
      <c r="V23" s="1059"/>
      <c r="W23" s="1059"/>
      <c r="X23" s="1059"/>
      <c r="Y23" s="1059"/>
      <c r="Z23" s="1059"/>
      <c r="AA23" s="1059"/>
      <c r="AB23" s="1059"/>
      <c r="AC23" s="1059"/>
      <c r="AD23" s="1059"/>
      <c r="AE23" s="1059"/>
      <c r="AF23" s="1059"/>
      <c r="AG23" s="1059"/>
      <c r="AH23" s="1059"/>
      <c r="AI23" s="1059"/>
      <c r="AJ23" s="1059"/>
      <c r="AK23" s="1059"/>
      <c r="AL23" s="1059"/>
      <c r="AM23" s="1059"/>
      <c r="AN23" s="1059"/>
      <c r="AO23" s="1059"/>
      <c r="AP23" s="1059"/>
      <c r="AQ23" s="1059"/>
      <c r="AR23" s="1059"/>
      <c r="AS23" s="1059"/>
      <c r="AT23" s="1059"/>
      <c r="AU23" s="1059"/>
      <c r="AV23" s="1059"/>
      <c r="AW23" s="1059"/>
      <c r="AX23" s="1059"/>
      <c r="AY23" s="1059"/>
      <c r="AZ23" s="1059"/>
      <c r="BA23" s="1059"/>
      <c r="BB23" s="1059"/>
      <c r="BC23" s="1059"/>
      <c r="BD23" s="1059"/>
      <c r="BE23" s="1059"/>
      <c r="BF23" s="1059"/>
      <c r="BG23" s="1059"/>
      <c r="BH23" s="1059"/>
      <c r="BI23" s="1059"/>
      <c r="BJ23" s="1059"/>
      <c r="BK23" s="1059"/>
      <c r="BL23" s="1059"/>
      <c r="BM23" s="1059"/>
      <c r="BN23" s="1059"/>
      <c r="BO23" s="1059"/>
      <c r="BP23" s="1059"/>
      <c r="BQ23" s="1059"/>
      <c r="BR23" s="1059"/>
      <c r="BS23" s="1059"/>
      <c r="BT23" s="1059"/>
      <c r="BU23" s="1059"/>
      <c r="BV23" s="1059"/>
      <c r="BW23" s="1059"/>
      <c r="BX23" s="1059"/>
      <c r="BY23" s="1059"/>
      <c r="BZ23" s="1059"/>
      <c r="CA23" s="1059"/>
      <c r="CB23" s="1059"/>
      <c r="CC23" s="1059"/>
      <c r="CD23" s="1059"/>
      <c r="CE23" s="1059"/>
      <c r="CF23" s="1059"/>
      <c r="CG23" s="1059"/>
      <c r="CH23" s="1059"/>
      <c r="CI23" s="1059"/>
      <c r="CJ23" s="1059"/>
      <c r="CK23" s="1059"/>
      <c r="CL23" s="1059"/>
      <c r="CM23" s="1059"/>
      <c r="CN23" s="1059"/>
      <c r="CO23" s="1059"/>
      <c r="CP23" s="1059"/>
      <c r="CQ23" s="1059"/>
      <c r="CR23" s="1059"/>
      <c r="CS23" s="1059"/>
      <c r="CT23" s="1059"/>
      <c r="CU23" s="1059"/>
      <c r="CV23" s="1059"/>
      <c r="CW23" s="1059"/>
      <c r="CX23" s="1059"/>
      <c r="CY23" s="1059"/>
      <c r="CZ23" s="1059"/>
      <c r="DA23" s="1059"/>
      <c r="DB23" s="1059"/>
      <c r="DC23" s="1059"/>
      <c r="DD23" s="1059"/>
      <c r="DE23" s="1059"/>
      <c r="DF23" s="1059"/>
      <c r="DG23" s="1059"/>
      <c r="DH23" s="1059"/>
      <c r="DI23" s="1059"/>
      <c r="DJ23" s="1059"/>
      <c r="DK23" s="1059"/>
      <c r="DL23" s="1059"/>
      <c r="DM23" s="1059"/>
      <c r="DN23" s="1059"/>
      <c r="DO23" s="1059"/>
      <c r="DP23" s="1059"/>
      <c r="DQ23" s="1059"/>
      <c r="DR23" s="1059"/>
      <c r="DS23" s="1059"/>
      <c r="DT23" s="1059"/>
      <c r="DU23" s="1059"/>
      <c r="DV23" s="1059"/>
      <c r="DW23" s="1059"/>
      <c r="DX23" s="1059"/>
      <c r="DY23" s="1059"/>
      <c r="DZ23" s="1059"/>
      <c r="EA23" s="1059"/>
      <c r="EB23" s="1059"/>
      <c r="EC23" s="1059"/>
      <c r="ED23" s="1059"/>
      <c r="EE23" s="1059"/>
      <c r="EF23" s="1059"/>
      <c r="EG23" s="1059"/>
      <c r="EH23" s="1059"/>
      <c r="EI23" s="1059"/>
      <c r="EJ23" s="1059"/>
      <c r="EK23" s="1059"/>
      <c r="EL23" s="1059"/>
      <c r="EM23" s="1059"/>
      <c r="EN23" s="1059"/>
      <c r="EO23" s="1059"/>
      <c r="EP23" s="1059"/>
      <c r="EQ23" s="1059"/>
      <c r="ER23" s="1059"/>
      <c r="ES23" s="1059"/>
      <c r="ET23" s="1059"/>
      <c r="EU23" s="1059"/>
      <c r="EV23" s="1059"/>
      <c r="EW23" s="1059"/>
      <c r="EX23" s="1059"/>
      <c r="EY23" s="1059"/>
      <c r="EZ23" s="1059"/>
      <c r="FA23" s="1059"/>
      <c r="FB23" s="1059"/>
      <c r="FC23" s="1059"/>
      <c r="FD23" s="1059"/>
      <c r="FE23" s="1059"/>
      <c r="FF23" s="1059"/>
      <c r="FG23" s="1059"/>
      <c r="FH23" s="1059"/>
      <c r="FI23" s="1059"/>
      <c r="FJ23" s="1059"/>
      <c r="FK23" s="1059"/>
      <c r="FL23" s="1059"/>
      <c r="FM23" s="1059"/>
      <c r="FN23" s="1059"/>
      <c r="FO23" s="1059"/>
      <c r="FP23" s="1059"/>
      <c r="FQ23" s="1059"/>
      <c r="FR23" s="1059"/>
      <c r="FS23" s="1059"/>
      <c r="FT23" s="1059"/>
      <c r="FU23" s="1059"/>
      <c r="FV23" s="1059"/>
      <c r="FW23" s="1059"/>
      <c r="FX23" s="1059"/>
      <c r="FY23" s="1059"/>
      <c r="FZ23" s="1059"/>
      <c r="GA23" s="1059"/>
      <c r="GB23" s="1059"/>
      <c r="GC23" s="1059"/>
      <c r="GD23" s="1059"/>
      <c r="GE23" s="1059"/>
      <c r="GF23" s="1059"/>
      <c r="GG23" s="1059"/>
      <c r="GH23" s="1059"/>
      <c r="GI23" s="1059"/>
      <c r="GJ23" s="1059"/>
      <c r="GK23" s="1059"/>
      <c r="GL23" s="1059"/>
      <c r="GM23" s="1059"/>
      <c r="GN23" s="1059"/>
      <c r="GO23" s="1059"/>
      <c r="GP23" s="1059"/>
      <c r="GQ23" s="1059"/>
      <c r="GR23" s="1059"/>
      <c r="GS23" s="1059"/>
      <c r="GT23" s="1059"/>
      <c r="GU23" s="1059"/>
      <c r="GV23" s="1059"/>
      <c r="GW23" s="1059"/>
      <c r="GX23" s="1059"/>
      <c r="GY23" s="1059"/>
      <c r="GZ23" s="1059"/>
      <c r="HA23" s="1059"/>
      <c r="HB23" s="1059"/>
      <c r="HC23" s="1059"/>
      <c r="HD23" s="1059"/>
      <c r="HE23" s="1059"/>
      <c r="HF23" s="1059"/>
      <c r="HG23" s="1059"/>
      <c r="HH23" s="1059"/>
      <c r="HI23" s="1059"/>
      <c r="HJ23" s="1059"/>
      <c r="HK23" s="1059"/>
      <c r="HL23" s="1059"/>
      <c r="HM23" s="1059"/>
      <c r="HN23" s="1059"/>
      <c r="HO23" s="1059"/>
      <c r="HP23" s="1059"/>
      <c r="HQ23" s="1059"/>
      <c r="HR23" s="1059"/>
      <c r="HS23" s="1059"/>
      <c r="HT23" s="1059"/>
      <c r="HU23" s="1059"/>
      <c r="HV23" s="1059"/>
      <c r="HW23" s="1059"/>
      <c r="HX23" s="1059"/>
      <c r="HY23" s="1059"/>
      <c r="HZ23" s="1059"/>
      <c r="IA23" s="1059"/>
      <c r="IB23" s="1059"/>
      <c r="IC23" s="1059"/>
      <c r="ID23" s="1059"/>
      <c r="IE23" s="1059"/>
      <c r="IF23" s="1059"/>
      <c r="IG23" s="1059"/>
      <c r="IH23" s="1059"/>
      <c r="II23" s="1059"/>
      <c r="IJ23" s="1059"/>
      <c r="IK23" s="1059"/>
      <c r="IL23" s="1059"/>
      <c r="IM23" s="1059"/>
      <c r="IN23" s="1059"/>
      <c r="IO23" s="1059"/>
      <c r="IP23" s="1059"/>
      <c r="IQ23" s="1059"/>
      <c r="IR23" s="1059"/>
      <c r="IS23" s="1059"/>
      <c r="IT23" s="1059"/>
      <c r="IU23" s="1059"/>
      <c r="IV23" s="1059"/>
    </row>
    <row r="24" s="1058" customFormat="1" ht="16.5" spans="1:256">
      <c r="A24" s="1075" t="s">
        <v>194</v>
      </c>
      <c r="B24" s="1071"/>
      <c r="C24" s="1072"/>
      <c r="D24" s="1079"/>
      <c r="E24" s="1079"/>
      <c r="F24" s="1079"/>
      <c r="G24" s="1059"/>
      <c r="H24" s="1059"/>
      <c r="I24" s="1059"/>
      <c r="J24" s="1059"/>
      <c r="K24" s="1059"/>
      <c r="L24" s="1059"/>
      <c r="M24" s="1059"/>
      <c r="N24" s="1059"/>
      <c r="O24" s="1059"/>
      <c r="P24" s="1059"/>
      <c r="Q24" s="1059"/>
      <c r="R24" s="1059"/>
      <c r="S24" s="1059"/>
      <c r="T24" s="1059"/>
      <c r="U24" s="1059"/>
      <c r="V24" s="1059"/>
      <c r="W24" s="1059"/>
      <c r="X24" s="1059"/>
      <c r="Y24" s="1059"/>
      <c r="Z24" s="1059"/>
      <c r="AA24" s="1059"/>
      <c r="AB24" s="1059"/>
      <c r="AC24" s="1059"/>
      <c r="AD24" s="1059"/>
      <c r="AE24" s="1059"/>
      <c r="AF24" s="1059"/>
      <c r="AG24" s="1059"/>
      <c r="AH24" s="1059"/>
      <c r="AI24" s="1059"/>
      <c r="AJ24" s="1059"/>
      <c r="AK24" s="1059"/>
      <c r="AL24" s="1059"/>
      <c r="AM24" s="1059"/>
      <c r="AN24" s="1059"/>
      <c r="AO24" s="1059"/>
      <c r="AP24" s="1059"/>
      <c r="AQ24" s="1059"/>
      <c r="AR24" s="1059"/>
      <c r="AS24" s="1059"/>
      <c r="AT24" s="1059"/>
      <c r="AU24" s="1059"/>
      <c r="AV24" s="1059"/>
      <c r="AW24" s="1059"/>
      <c r="AX24" s="1059"/>
      <c r="AY24" s="1059"/>
      <c r="AZ24" s="1059"/>
      <c r="BA24" s="1059"/>
      <c r="BB24" s="1059"/>
      <c r="BC24" s="1059"/>
      <c r="BD24" s="1059"/>
      <c r="BE24" s="1059"/>
      <c r="BF24" s="1059"/>
      <c r="BG24" s="1059"/>
      <c r="BH24" s="1059"/>
      <c r="BI24" s="1059"/>
      <c r="BJ24" s="1059"/>
      <c r="BK24" s="1059"/>
      <c r="BL24" s="1059"/>
      <c r="BM24" s="1059"/>
      <c r="BN24" s="1059"/>
      <c r="BO24" s="1059"/>
      <c r="BP24" s="1059"/>
      <c r="BQ24" s="1059"/>
      <c r="BR24" s="1059"/>
      <c r="BS24" s="1059"/>
      <c r="BT24" s="1059"/>
      <c r="BU24" s="1059"/>
      <c r="BV24" s="1059"/>
      <c r="BW24" s="1059"/>
      <c r="BX24" s="1059"/>
      <c r="BY24" s="1059"/>
      <c r="BZ24" s="1059"/>
      <c r="CA24" s="1059"/>
      <c r="CB24" s="1059"/>
      <c r="CC24" s="1059"/>
      <c r="CD24" s="1059"/>
      <c r="CE24" s="1059"/>
      <c r="CF24" s="1059"/>
      <c r="CG24" s="1059"/>
      <c r="CH24" s="1059"/>
      <c r="CI24" s="1059"/>
      <c r="CJ24" s="1059"/>
      <c r="CK24" s="1059"/>
      <c r="CL24" s="1059"/>
      <c r="CM24" s="1059"/>
      <c r="CN24" s="1059"/>
      <c r="CO24" s="1059"/>
      <c r="CP24" s="1059"/>
      <c r="CQ24" s="1059"/>
      <c r="CR24" s="1059"/>
      <c r="CS24" s="1059"/>
      <c r="CT24" s="1059"/>
      <c r="CU24" s="1059"/>
      <c r="CV24" s="1059"/>
      <c r="CW24" s="1059"/>
      <c r="CX24" s="1059"/>
      <c r="CY24" s="1059"/>
      <c r="CZ24" s="1059"/>
      <c r="DA24" s="1059"/>
      <c r="DB24" s="1059"/>
      <c r="DC24" s="1059"/>
      <c r="DD24" s="1059"/>
      <c r="DE24" s="1059"/>
      <c r="DF24" s="1059"/>
      <c r="DG24" s="1059"/>
      <c r="DH24" s="1059"/>
      <c r="DI24" s="1059"/>
      <c r="DJ24" s="1059"/>
      <c r="DK24" s="1059"/>
      <c r="DL24" s="1059"/>
      <c r="DM24" s="1059"/>
      <c r="DN24" s="1059"/>
      <c r="DO24" s="1059"/>
      <c r="DP24" s="1059"/>
      <c r="DQ24" s="1059"/>
      <c r="DR24" s="1059"/>
      <c r="DS24" s="1059"/>
      <c r="DT24" s="1059"/>
      <c r="DU24" s="1059"/>
      <c r="DV24" s="1059"/>
      <c r="DW24" s="1059"/>
      <c r="DX24" s="1059"/>
      <c r="DY24" s="1059"/>
      <c r="DZ24" s="1059"/>
      <c r="EA24" s="1059"/>
      <c r="EB24" s="1059"/>
      <c r="EC24" s="1059"/>
      <c r="ED24" s="1059"/>
      <c r="EE24" s="1059"/>
      <c r="EF24" s="1059"/>
      <c r="EG24" s="1059"/>
      <c r="EH24" s="1059"/>
      <c r="EI24" s="1059"/>
      <c r="EJ24" s="1059"/>
      <c r="EK24" s="1059"/>
      <c r="EL24" s="1059"/>
      <c r="EM24" s="1059"/>
      <c r="EN24" s="1059"/>
      <c r="EO24" s="1059"/>
      <c r="EP24" s="1059"/>
      <c r="EQ24" s="1059"/>
      <c r="ER24" s="1059"/>
      <c r="ES24" s="1059"/>
      <c r="ET24" s="1059"/>
      <c r="EU24" s="1059"/>
      <c r="EV24" s="1059"/>
      <c r="EW24" s="1059"/>
      <c r="EX24" s="1059"/>
      <c r="EY24" s="1059"/>
      <c r="EZ24" s="1059"/>
      <c r="FA24" s="1059"/>
      <c r="FB24" s="1059"/>
      <c r="FC24" s="1059"/>
      <c r="FD24" s="1059"/>
      <c r="FE24" s="1059"/>
      <c r="FF24" s="1059"/>
      <c r="FG24" s="1059"/>
      <c r="FH24" s="1059"/>
      <c r="FI24" s="1059"/>
      <c r="FJ24" s="1059"/>
      <c r="FK24" s="1059"/>
      <c r="FL24" s="1059"/>
      <c r="FM24" s="1059"/>
      <c r="FN24" s="1059"/>
      <c r="FO24" s="1059"/>
      <c r="FP24" s="1059"/>
      <c r="FQ24" s="1059"/>
      <c r="FR24" s="1059"/>
      <c r="FS24" s="1059"/>
      <c r="FT24" s="1059"/>
      <c r="FU24" s="1059"/>
      <c r="FV24" s="1059"/>
      <c r="FW24" s="1059"/>
      <c r="FX24" s="1059"/>
      <c r="FY24" s="1059"/>
      <c r="FZ24" s="1059"/>
      <c r="GA24" s="1059"/>
      <c r="GB24" s="1059"/>
      <c r="GC24" s="1059"/>
      <c r="GD24" s="1059"/>
      <c r="GE24" s="1059"/>
      <c r="GF24" s="1059"/>
      <c r="GG24" s="1059"/>
      <c r="GH24" s="1059"/>
      <c r="GI24" s="1059"/>
      <c r="GJ24" s="1059"/>
      <c r="GK24" s="1059"/>
      <c r="GL24" s="1059"/>
      <c r="GM24" s="1059"/>
      <c r="GN24" s="1059"/>
      <c r="GO24" s="1059"/>
      <c r="GP24" s="1059"/>
      <c r="GQ24" s="1059"/>
      <c r="GR24" s="1059"/>
      <c r="GS24" s="1059"/>
      <c r="GT24" s="1059"/>
      <c r="GU24" s="1059"/>
      <c r="GV24" s="1059"/>
      <c r="GW24" s="1059"/>
      <c r="GX24" s="1059"/>
      <c r="GY24" s="1059"/>
      <c r="GZ24" s="1059"/>
      <c r="HA24" s="1059"/>
      <c r="HB24" s="1059"/>
      <c r="HC24" s="1059"/>
      <c r="HD24" s="1059"/>
      <c r="HE24" s="1059"/>
      <c r="HF24" s="1059"/>
      <c r="HG24" s="1059"/>
      <c r="HH24" s="1059"/>
      <c r="HI24" s="1059"/>
      <c r="HJ24" s="1059"/>
      <c r="HK24" s="1059"/>
      <c r="HL24" s="1059"/>
      <c r="HM24" s="1059"/>
      <c r="HN24" s="1059"/>
      <c r="HO24" s="1059"/>
      <c r="HP24" s="1059"/>
      <c r="HQ24" s="1059"/>
      <c r="HR24" s="1059"/>
      <c r="HS24" s="1059"/>
      <c r="HT24" s="1059"/>
      <c r="HU24" s="1059"/>
      <c r="HV24" s="1059"/>
      <c r="HW24" s="1059"/>
      <c r="HX24" s="1059"/>
      <c r="HY24" s="1059"/>
      <c r="HZ24" s="1059"/>
      <c r="IA24" s="1059"/>
      <c r="IB24" s="1059"/>
      <c r="IC24" s="1059"/>
      <c r="ID24" s="1059"/>
      <c r="IE24" s="1059"/>
      <c r="IF24" s="1059"/>
      <c r="IG24" s="1059"/>
      <c r="IH24" s="1059"/>
      <c r="II24" s="1059"/>
      <c r="IJ24" s="1059"/>
      <c r="IK24" s="1059"/>
      <c r="IL24" s="1059"/>
      <c r="IM24" s="1059"/>
      <c r="IN24" s="1059"/>
      <c r="IO24" s="1059"/>
      <c r="IP24" s="1059"/>
      <c r="IQ24" s="1059"/>
      <c r="IR24" s="1059"/>
      <c r="IS24" s="1059"/>
      <c r="IT24" s="1059"/>
      <c r="IU24" s="1059"/>
      <c r="IV24" s="1059"/>
    </row>
    <row r="25" s="1056" customFormat="1" spans="1:256">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59"/>
      <c r="Z25" s="1059"/>
      <c r="AA25" s="1059"/>
      <c r="AB25" s="1059"/>
      <c r="AC25" s="1059"/>
      <c r="AD25" s="1059"/>
      <c r="AE25" s="1059"/>
      <c r="AF25" s="1059"/>
      <c r="AG25" s="1059"/>
      <c r="AH25" s="1059"/>
      <c r="AI25" s="1059"/>
      <c r="AJ25" s="1059"/>
      <c r="AK25" s="1059"/>
      <c r="AL25" s="1059"/>
      <c r="AM25" s="1059"/>
      <c r="AN25" s="1059"/>
      <c r="AO25" s="1059"/>
      <c r="AP25" s="1059"/>
      <c r="AQ25" s="1059"/>
      <c r="AR25" s="1059"/>
      <c r="AS25" s="1059"/>
      <c r="AT25" s="1059"/>
      <c r="AU25" s="1059"/>
      <c r="AV25" s="1059"/>
      <c r="AW25" s="1059"/>
      <c r="AX25" s="1059"/>
      <c r="AY25" s="1059"/>
      <c r="AZ25" s="1059"/>
      <c r="BA25" s="1059"/>
      <c r="BB25" s="1059"/>
      <c r="BC25" s="1059"/>
      <c r="BD25" s="1059"/>
      <c r="BE25" s="1059"/>
      <c r="BF25" s="1059"/>
      <c r="BG25" s="1059"/>
      <c r="BH25" s="1059"/>
      <c r="BI25" s="1059"/>
      <c r="BJ25" s="1059"/>
      <c r="BK25" s="1059"/>
      <c r="BL25" s="1059"/>
      <c r="BM25" s="1059"/>
      <c r="BN25" s="1059"/>
      <c r="BO25" s="1059"/>
      <c r="BP25" s="1059"/>
      <c r="BQ25" s="1059"/>
      <c r="BR25" s="1059"/>
      <c r="BS25" s="1059"/>
      <c r="BT25" s="1059"/>
      <c r="BU25" s="1059"/>
      <c r="BV25" s="1059"/>
      <c r="BW25" s="1059"/>
      <c r="BX25" s="1059"/>
      <c r="BY25" s="1059"/>
      <c r="BZ25" s="1059"/>
      <c r="CA25" s="1059"/>
      <c r="CB25" s="1059"/>
      <c r="CC25" s="1059"/>
      <c r="CD25" s="1059"/>
      <c r="CE25" s="1059"/>
      <c r="CF25" s="1059"/>
      <c r="CG25" s="1059"/>
      <c r="CH25" s="1059"/>
      <c r="CI25" s="1059"/>
      <c r="CJ25" s="1059"/>
      <c r="CK25" s="1059"/>
      <c r="CL25" s="1059"/>
      <c r="CM25" s="1059"/>
      <c r="CN25" s="1059"/>
      <c r="CO25" s="1059"/>
      <c r="CP25" s="1059"/>
      <c r="CQ25" s="1059"/>
      <c r="CR25" s="1059"/>
      <c r="CS25" s="1059"/>
      <c r="CT25" s="1059"/>
      <c r="CU25" s="1059"/>
      <c r="CV25" s="1059"/>
      <c r="CW25" s="1059"/>
      <c r="CX25" s="1059"/>
      <c r="CY25" s="1059"/>
      <c r="CZ25" s="1059"/>
      <c r="DA25" s="1059"/>
      <c r="DB25" s="1059"/>
      <c r="DC25" s="1059"/>
      <c r="DD25" s="1059"/>
      <c r="DE25" s="1059"/>
      <c r="DF25" s="1059"/>
      <c r="DG25" s="1059"/>
      <c r="DH25" s="1059"/>
      <c r="DI25" s="1059"/>
      <c r="DJ25" s="1059"/>
      <c r="DK25" s="1059"/>
      <c r="DL25" s="1059"/>
      <c r="DM25" s="1059"/>
      <c r="DN25" s="1059"/>
      <c r="DO25" s="1059"/>
      <c r="DP25" s="1059"/>
      <c r="DQ25" s="1059"/>
      <c r="DR25" s="1059"/>
      <c r="DS25" s="1059"/>
      <c r="DT25" s="1059"/>
      <c r="DU25" s="1059"/>
      <c r="DV25" s="1059"/>
      <c r="DW25" s="1059"/>
      <c r="DX25" s="1059"/>
      <c r="DY25" s="1059"/>
      <c r="DZ25" s="1059"/>
      <c r="EA25" s="1059"/>
      <c r="EB25" s="1059"/>
      <c r="EC25" s="1059"/>
      <c r="ED25" s="1059"/>
      <c r="EE25" s="1059"/>
      <c r="EF25" s="1059"/>
      <c r="EG25" s="1059"/>
      <c r="EH25" s="1059"/>
      <c r="EI25" s="1059"/>
      <c r="EJ25" s="1059"/>
      <c r="EK25" s="1059"/>
      <c r="EL25" s="1059"/>
      <c r="EM25" s="1059"/>
      <c r="EN25" s="1059"/>
      <c r="EO25" s="1059"/>
      <c r="EP25" s="1059"/>
      <c r="EQ25" s="1059"/>
      <c r="ER25" s="1059"/>
      <c r="ES25" s="1059"/>
      <c r="ET25" s="1059"/>
      <c r="EU25" s="1059"/>
      <c r="EV25" s="1059"/>
      <c r="EW25" s="1059"/>
      <c r="EX25" s="1059"/>
      <c r="EY25" s="1059"/>
      <c r="EZ25" s="1059"/>
      <c r="FA25" s="1059"/>
      <c r="FB25" s="1059"/>
      <c r="FC25" s="1059"/>
      <c r="FD25" s="1059"/>
      <c r="FE25" s="1059"/>
      <c r="FF25" s="1059"/>
      <c r="FG25" s="1059"/>
      <c r="FH25" s="1059"/>
      <c r="FI25" s="1059"/>
      <c r="FJ25" s="1059"/>
      <c r="FK25" s="1059"/>
      <c r="FL25" s="1059"/>
      <c r="FM25" s="1059"/>
      <c r="FN25" s="1059"/>
      <c r="FO25" s="1059"/>
      <c r="FP25" s="1059"/>
      <c r="FQ25" s="1059"/>
      <c r="FR25" s="1059"/>
      <c r="FS25" s="1059"/>
      <c r="FT25" s="1059"/>
      <c r="FU25" s="1059"/>
      <c r="FV25" s="1059"/>
      <c r="FW25" s="1059"/>
      <c r="FX25" s="1059"/>
      <c r="FY25" s="1059"/>
      <c r="FZ25" s="1059"/>
      <c r="GA25" s="1059"/>
      <c r="GB25" s="1059"/>
      <c r="GC25" s="1059"/>
      <c r="GD25" s="1059"/>
      <c r="GE25" s="1059"/>
      <c r="GF25" s="1059"/>
      <c r="GG25" s="1059"/>
      <c r="GH25" s="1059"/>
      <c r="GI25" s="1059"/>
      <c r="GJ25" s="1059"/>
      <c r="GK25" s="1059"/>
      <c r="GL25" s="1059"/>
      <c r="GM25" s="1059"/>
      <c r="GN25" s="1059"/>
      <c r="GO25" s="1059"/>
      <c r="GP25" s="1059"/>
      <c r="GQ25" s="1059"/>
      <c r="GR25" s="1059"/>
      <c r="GS25" s="1059"/>
      <c r="GT25" s="1059"/>
      <c r="GU25" s="1059"/>
      <c r="GV25" s="1059"/>
      <c r="GW25" s="1059"/>
      <c r="GX25" s="1059"/>
      <c r="GY25" s="1059"/>
      <c r="GZ25" s="1059"/>
      <c r="HA25" s="1059"/>
      <c r="HB25" s="1059"/>
      <c r="HC25" s="1059"/>
      <c r="HD25" s="1059"/>
      <c r="HE25" s="1059"/>
      <c r="HF25" s="1059"/>
      <c r="HG25" s="1059"/>
      <c r="HH25" s="1059"/>
      <c r="HI25" s="1059"/>
      <c r="HJ25" s="1059"/>
      <c r="HK25" s="1059"/>
      <c r="HL25" s="1059"/>
      <c r="HM25" s="1059"/>
      <c r="HN25" s="1059"/>
      <c r="HO25" s="1059"/>
      <c r="HP25" s="1060"/>
      <c r="HQ25" s="1060"/>
      <c r="HR25" s="1060"/>
      <c r="HS25" s="1060"/>
      <c r="HT25" s="1060"/>
      <c r="HU25" s="1060"/>
      <c r="HV25" s="1060"/>
      <c r="HW25" s="1060"/>
      <c r="HX25" s="1060"/>
      <c r="HY25" s="1060"/>
      <c r="HZ25" s="1060"/>
      <c r="IA25" s="1060"/>
      <c r="IB25" s="1060"/>
      <c r="IC25" s="1060"/>
      <c r="ID25" s="1060"/>
      <c r="IE25" s="1060"/>
      <c r="IF25" s="1060"/>
      <c r="IG25" s="1060"/>
      <c r="IH25" s="1060"/>
      <c r="II25" s="1060"/>
      <c r="IJ25" s="1060"/>
      <c r="IK25" s="1060"/>
      <c r="IL25" s="1060"/>
      <c r="IM25" s="1060"/>
      <c r="IN25" s="1060"/>
      <c r="IO25" s="1060"/>
      <c r="IP25" s="1060"/>
      <c r="IQ25" s="1060"/>
      <c r="IR25" s="1060"/>
      <c r="IS25" s="1060"/>
      <c r="IT25" s="1060"/>
      <c r="IU25" s="1060"/>
      <c r="IV25" s="1060"/>
    </row>
    <row r="26" s="1056" customFormat="1" spans="1:256">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59"/>
      <c r="Z26" s="1059"/>
      <c r="AA26" s="1059"/>
      <c r="AB26" s="1059"/>
      <c r="AC26" s="1059"/>
      <c r="AD26" s="1059"/>
      <c r="AE26" s="1059"/>
      <c r="AF26" s="1059"/>
      <c r="AG26" s="1059"/>
      <c r="AH26" s="1059"/>
      <c r="AI26" s="1059"/>
      <c r="AJ26" s="1059"/>
      <c r="AK26" s="1059"/>
      <c r="AL26" s="1059"/>
      <c r="AM26" s="1059"/>
      <c r="AN26" s="1059"/>
      <c r="AO26" s="1059"/>
      <c r="AP26" s="1059"/>
      <c r="AQ26" s="1059"/>
      <c r="AR26" s="1059"/>
      <c r="AS26" s="1059"/>
      <c r="AT26" s="1059"/>
      <c r="AU26" s="1059"/>
      <c r="AV26" s="1059"/>
      <c r="AW26" s="1059"/>
      <c r="AX26" s="1059"/>
      <c r="AY26" s="1059"/>
      <c r="AZ26" s="1059"/>
      <c r="BA26" s="1059"/>
      <c r="BB26" s="1059"/>
      <c r="BC26" s="1059"/>
      <c r="BD26" s="1059"/>
      <c r="BE26" s="1059"/>
      <c r="BF26" s="1059"/>
      <c r="BG26" s="1059"/>
      <c r="BH26" s="1059"/>
      <c r="BI26" s="1059"/>
      <c r="BJ26" s="1059"/>
      <c r="BK26" s="1059"/>
      <c r="BL26" s="1059"/>
      <c r="BM26" s="1059"/>
      <c r="BN26" s="1059"/>
      <c r="BO26" s="1059"/>
      <c r="BP26" s="1059"/>
      <c r="BQ26" s="1059"/>
      <c r="BR26" s="1059"/>
      <c r="BS26" s="1059"/>
      <c r="BT26" s="1059"/>
      <c r="BU26" s="1059"/>
      <c r="BV26" s="1059"/>
      <c r="BW26" s="1059"/>
      <c r="BX26" s="1059"/>
      <c r="BY26" s="1059"/>
      <c r="BZ26" s="1059"/>
      <c r="CA26" s="1059"/>
      <c r="CB26" s="1059"/>
      <c r="CC26" s="1059"/>
      <c r="CD26" s="1059"/>
      <c r="CE26" s="1059"/>
      <c r="CF26" s="1059"/>
      <c r="CG26" s="1059"/>
      <c r="CH26" s="1059"/>
      <c r="CI26" s="1059"/>
      <c r="CJ26" s="1059"/>
      <c r="CK26" s="1059"/>
      <c r="CL26" s="1059"/>
      <c r="CM26" s="1059"/>
      <c r="CN26" s="1059"/>
      <c r="CO26" s="1059"/>
      <c r="CP26" s="1059"/>
      <c r="CQ26" s="1059"/>
      <c r="CR26" s="1059"/>
      <c r="CS26" s="1059"/>
      <c r="CT26" s="1059"/>
      <c r="CU26" s="1059"/>
      <c r="CV26" s="1059"/>
      <c r="CW26" s="1059"/>
      <c r="CX26" s="1059"/>
      <c r="CY26" s="1059"/>
      <c r="CZ26" s="1059"/>
      <c r="DA26" s="1059"/>
      <c r="DB26" s="1059"/>
      <c r="DC26" s="1059"/>
      <c r="DD26" s="1059"/>
      <c r="DE26" s="1059"/>
      <c r="DF26" s="1059"/>
      <c r="DG26" s="1059"/>
      <c r="DH26" s="1059"/>
      <c r="DI26" s="1059"/>
      <c r="DJ26" s="1059"/>
      <c r="DK26" s="1059"/>
      <c r="DL26" s="1059"/>
      <c r="DM26" s="1059"/>
      <c r="DN26" s="1059"/>
      <c r="DO26" s="1059"/>
      <c r="DP26" s="1059"/>
      <c r="DQ26" s="1059"/>
      <c r="DR26" s="1059"/>
      <c r="DS26" s="1059"/>
      <c r="DT26" s="1059"/>
      <c r="DU26" s="1059"/>
      <c r="DV26" s="1059"/>
      <c r="DW26" s="1059"/>
      <c r="DX26" s="1059"/>
      <c r="DY26" s="1059"/>
      <c r="DZ26" s="1059"/>
      <c r="EA26" s="1059"/>
      <c r="EB26" s="1059"/>
      <c r="EC26" s="1059"/>
      <c r="ED26" s="1059"/>
      <c r="EE26" s="1059"/>
      <c r="EF26" s="1059"/>
      <c r="EG26" s="1059"/>
      <c r="EH26" s="1059"/>
      <c r="EI26" s="1059"/>
      <c r="EJ26" s="1059"/>
      <c r="EK26" s="1059"/>
      <c r="EL26" s="1059"/>
      <c r="EM26" s="1059"/>
      <c r="EN26" s="1059"/>
      <c r="EO26" s="1059"/>
      <c r="EP26" s="1059"/>
      <c r="EQ26" s="1059"/>
      <c r="ER26" s="1059"/>
      <c r="ES26" s="1059"/>
      <c r="ET26" s="1059"/>
      <c r="EU26" s="1059"/>
      <c r="EV26" s="1059"/>
      <c r="EW26" s="1059"/>
      <c r="EX26" s="1059"/>
      <c r="EY26" s="1059"/>
      <c r="EZ26" s="1059"/>
      <c r="FA26" s="1059"/>
      <c r="FB26" s="1059"/>
      <c r="FC26" s="1059"/>
      <c r="FD26" s="1059"/>
      <c r="FE26" s="1059"/>
      <c r="FF26" s="1059"/>
      <c r="FG26" s="1059"/>
      <c r="FH26" s="1059"/>
      <c r="FI26" s="1059"/>
      <c r="FJ26" s="1059"/>
      <c r="FK26" s="1059"/>
      <c r="FL26" s="1059"/>
      <c r="FM26" s="1059"/>
      <c r="FN26" s="1059"/>
      <c r="FO26" s="1059"/>
      <c r="FP26" s="1059"/>
      <c r="FQ26" s="1059"/>
      <c r="FR26" s="1059"/>
      <c r="FS26" s="1059"/>
      <c r="FT26" s="1059"/>
      <c r="FU26" s="1059"/>
      <c r="FV26" s="1059"/>
      <c r="FW26" s="1059"/>
      <c r="FX26" s="1059"/>
      <c r="FY26" s="1059"/>
      <c r="FZ26" s="1059"/>
      <c r="GA26" s="1059"/>
      <c r="GB26" s="1059"/>
      <c r="GC26" s="1059"/>
      <c r="GD26" s="1059"/>
      <c r="GE26" s="1059"/>
      <c r="GF26" s="1059"/>
      <c r="GG26" s="1059"/>
      <c r="GH26" s="1059"/>
      <c r="GI26" s="1059"/>
      <c r="GJ26" s="1059"/>
      <c r="GK26" s="1059"/>
      <c r="GL26" s="1059"/>
      <c r="GM26" s="1059"/>
      <c r="GN26" s="1059"/>
      <c r="GO26" s="1059"/>
      <c r="GP26" s="1059"/>
      <c r="GQ26" s="1059"/>
      <c r="GR26" s="1059"/>
      <c r="GS26" s="1059"/>
      <c r="GT26" s="1059"/>
      <c r="GU26" s="1059"/>
      <c r="GV26" s="1059"/>
      <c r="GW26" s="1059"/>
      <c r="GX26" s="1059"/>
      <c r="GY26" s="1059"/>
      <c r="GZ26" s="1059"/>
      <c r="HA26" s="1059"/>
      <c r="HB26" s="1059"/>
      <c r="HC26" s="1059"/>
      <c r="HD26" s="1059"/>
      <c r="HE26" s="1059"/>
      <c r="HF26" s="1059"/>
      <c r="HG26" s="1059"/>
      <c r="HH26" s="1059"/>
      <c r="HI26" s="1059"/>
      <c r="HJ26" s="1059"/>
      <c r="HK26" s="1059"/>
      <c r="HL26" s="1059"/>
      <c r="HM26" s="1059"/>
      <c r="HN26" s="1059"/>
      <c r="HO26" s="1059"/>
      <c r="HP26" s="1060"/>
      <c r="HQ26" s="1060"/>
      <c r="HR26" s="1060"/>
      <c r="HS26" s="1060"/>
      <c r="HT26" s="1060"/>
      <c r="HU26" s="1060"/>
      <c r="HV26" s="1060"/>
      <c r="HW26" s="1060"/>
      <c r="HX26" s="1060"/>
      <c r="HY26" s="1060"/>
      <c r="HZ26" s="1060"/>
      <c r="IA26" s="1060"/>
      <c r="IB26" s="1060"/>
      <c r="IC26" s="1060"/>
      <c r="ID26" s="1060"/>
      <c r="IE26" s="1060"/>
      <c r="IF26" s="1060"/>
      <c r="IG26" s="1060"/>
      <c r="IH26" s="1060"/>
      <c r="II26" s="1060"/>
      <c r="IJ26" s="1060"/>
      <c r="IK26" s="1060"/>
      <c r="IL26" s="1060"/>
      <c r="IM26" s="1060"/>
      <c r="IN26" s="1060"/>
      <c r="IO26" s="1060"/>
      <c r="IP26" s="1060"/>
      <c r="IQ26" s="1060"/>
      <c r="IR26" s="1060"/>
      <c r="IS26" s="1060"/>
      <c r="IT26" s="1060"/>
      <c r="IU26" s="1060"/>
      <c r="IV26" s="1060"/>
    </row>
  </sheetData>
  <mergeCells count="3">
    <mergeCell ref="A1:F1"/>
    <mergeCell ref="C3:F3"/>
    <mergeCell ref="D22:F24"/>
  </mergeCells>
  <pageMargins left="0.75" right="0.75" top="1" bottom="1" header="0.509027777777778" footer="0.509027777777778"/>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AA31"/>
  <sheetViews>
    <sheetView workbookViewId="0">
      <selection activeCell="P12" sqref="P12"/>
    </sheetView>
  </sheetViews>
  <sheetFormatPr defaultColWidth="9" defaultRowHeight="12"/>
  <cols>
    <col min="1" max="1" width="7.125" style="2" customWidth="1"/>
    <col min="2" max="2" width="10.125" style="3" customWidth="1"/>
    <col min="3" max="14" width="8.625" style="2" customWidth="1"/>
    <col min="15" max="15" width="11.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1217</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AA31"/>
  <sheetViews>
    <sheetView workbookViewId="0">
      <selection activeCell="N28" sqref="$A1:$XFD65536"/>
    </sheetView>
  </sheetViews>
  <sheetFormatPr defaultColWidth="9" defaultRowHeight="12"/>
  <cols>
    <col min="1" max="1" width="7.125" style="2" customWidth="1"/>
    <col min="2" max="2" width="10.125" style="3" customWidth="1"/>
    <col min="3" max="14" width="8.625" style="2" customWidth="1"/>
    <col min="15" max="15" width="11.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1218</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AA31"/>
  <sheetViews>
    <sheetView workbookViewId="0">
      <selection activeCell="K32" sqref="K32"/>
    </sheetView>
  </sheetViews>
  <sheetFormatPr defaultColWidth="9" defaultRowHeight="12"/>
  <cols>
    <col min="1" max="1" width="7.125" style="2" customWidth="1"/>
    <col min="2" max="2" width="10.125" style="3" customWidth="1"/>
    <col min="3" max="14" width="8.625" style="2" customWidth="1"/>
    <col min="15" max="15" width="11.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1219</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AA31"/>
  <sheetViews>
    <sheetView workbookViewId="0">
      <selection activeCell="J31" sqref="$A1:$XFD65536"/>
    </sheetView>
  </sheetViews>
  <sheetFormatPr defaultColWidth="9" defaultRowHeight="12"/>
  <cols>
    <col min="1" max="1" width="6.875" style="2" customWidth="1"/>
    <col min="2" max="2" width="10" style="3" customWidth="1"/>
    <col min="3" max="14" width="8.625" style="2" customWidth="1"/>
    <col min="15" max="15" width="10"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1220</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AA31"/>
  <sheetViews>
    <sheetView workbookViewId="0">
      <selection activeCell="E16" sqref="E16"/>
    </sheetView>
  </sheetViews>
  <sheetFormatPr defaultColWidth="9" defaultRowHeight="12"/>
  <cols>
    <col min="1" max="1" width="7.125" style="2" customWidth="1"/>
    <col min="2" max="2" width="10.25" style="3" customWidth="1"/>
    <col min="3" max="14" width="8.625" style="2" customWidth="1"/>
    <col min="15" max="15" width="11.625" style="2" customWidth="1"/>
    <col min="16" max="25" width="5.625" style="2" customWidth="1"/>
    <col min="26" max="16384" width="9" style="2"/>
  </cols>
  <sheetData>
    <row r="1" ht="13.5" customHeight="1" spans="1:27">
      <c r="A1" s="4" t="s">
        <v>1462</v>
      </c>
      <c r="E1" s="4" t="s">
        <v>1463</v>
      </c>
      <c r="H1" s="4" t="s">
        <v>1435</v>
      </c>
      <c r="N1" s="24"/>
      <c r="S1" s="4"/>
      <c r="X1" s="4"/>
      <c r="AA1" s="24"/>
    </row>
    <row r="2" customHeight="1" spans="1:27">
      <c r="A2" s="5" t="s">
        <v>1433</v>
      </c>
      <c r="B2" s="6"/>
      <c r="D2" s="7"/>
      <c r="E2" s="5" t="s">
        <v>1434</v>
      </c>
      <c r="F2" s="7"/>
      <c r="G2" s="7"/>
      <c r="H2" s="5" t="s">
        <v>1435</v>
      </c>
      <c r="I2" s="7"/>
      <c r="J2" s="7"/>
      <c r="K2" s="7"/>
      <c r="O2" s="25" t="s">
        <v>1436</v>
      </c>
      <c r="Q2" s="7"/>
      <c r="S2" s="5"/>
      <c r="T2" s="7"/>
      <c r="V2" s="7"/>
      <c r="W2" s="7"/>
      <c r="X2" s="5"/>
      <c r="AA2" s="25"/>
    </row>
    <row r="3" s="3" customFormat="1"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spans="1:15">
      <c r="A4" s="40" t="s">
        <v>1221</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spans="1:15">
      <c r="A5" s="41"/>
      <c r="B5" s="38" t="s">
        <v>1452</v>
      </c>
      <c r="C5" s="35"/>
      <c r="D5" s="35"/>
      <c r="E5" s="35"/>
      <c r="F5" s="35"/>
      <c r="G5" s="35"/>
      <c r="H5" s="35"/>
      <c r="I5" s="35"/>
      <c r="J5" s="35"/>
      <c r="K5" s="35"/>
      <c r="L5" s="35"/>
      <c r="M5" s="35"/>
      <c r="N5" s="35"/>
      <c r="O5" s="36">
        <f t="shared" ref="O5:O8" si="1">SUM(C5:N5)</f>
        <v>0</v>
      </c>
    </row>
    <row r="6" spans="1:15">
      <c r="A6" s="41"/>
      <c r="B6" s="38" t="s">
        <v>1453</v>
      </c>
      <c r="C6" s="35"/>
      <c r="D6" s="35"/>
      <c r="E6" s="35"/>
      <c r="F6" s="35"/>
      <c r="G6" s="35"/>
      <c r="H6" s="35"/>
      <c r="I6" s="35"/>
      <c r="J6" s="35"/>
      <c r="K6" s="35"/>
      <c r="L6" s="35"/>
      <c r="M6" s="35"/>
      <c r="N6" s="35"/>
      <c r="O6" s="36">
        <f t="shared" si="1"/>
        <v>0</v>
      </c>
    </row>
    <row r="7" spans="1:15">
      <c r="A7" s="41"/>
      <c r="B7" s="38" t="s">
        <v>1454</v>
      </c>
      <c r="C7" s="35"/>
      <c r="D7" s="35"/>
      <c r="E7" s="35"/>
      <c r="F7" s="35"/>
      <c r="G7" s="35"/>
      <c r="H7" s="35"/>
      <c r="I7" s="35"/>
      <c r="J7" s="35"/>
      <c r="K7" s="35"/>
      <c r="L7" s="35"/>
      <c r="M7" s="35"/>
      <c r="N7" s="35"/>
      <c r="O7" s="36">
        <f t="shared" si="1"/>
        <v>0</v>
      </c>
    </row>
    <row r="8" spans="1:15">
      <c r="A8" s="41"/>
      <c r="B8" s="38" t="s">
        <v>554</v>
      </c>
      <c r="C8" s="35"/>
      <c r="D8" s="35"/>
      <c r="E8" s="35"/>
      <c r="F8" s="35"/>
      <c r="G8" s="35"/>
      <c r="H8" s="35"/>
      <c r="I8" s="35"/>
      <c r="J8" s="35"/>
      <c r="K8" s="35"/>
      <c r="L8" s="35"/>
      <c r="M8" s="35"/>
      <c r="N8" s="35"/>
      <c r="O8" s="36">
        <f t="shared" si="1"/>
        <v>0</v>
      </c>
    </row>
    <row r="9" spans="1:15">
      <c r="A9" s="41"/>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spans="1:15">
      <c r="A10" s="41"/>
      <c r="B10" s="38" t="s">
        <v>1455</v>
      </c>
      <c r="C10" s="35"/>
      <c r="D10" s="35"/>
      <c r="E10" s="35"/>
      <c r="F10" s="35"/>
      <c r="G10" s="35"/>
      <c r="H10" s="35"/>
      <c r="I10" s="35"/>
      <c r="J10" s="35"/>
      <c r="K10" s="35"/>
      <c r="L10" s="35"/>
      <c r="M10" s="35"/>
      <c r="N10" s="35"/>
      <c r="O10" s="36">
        <f>SUM(C10:N10)</f>
        <v>0</v>
      </c>
    </row>
    <row r="11" spans="1:15">
      <c r="A11" s="41"/>
      <c r="B11" s="38" t="s">
        <v>1479</v>
      </c>
      <c r="C11" s="35"/>
      <c r="D11" s="35"/>
      <c r="E11" s="35"/>
      <c r="F11" s="35"/>
      <c r="G11" s="35"/>
      <c r="H11" s="35"/>
      <c r="I11" s="35"/>
      <c r="J11" s="35"/>
      <c r="K11" s="35"/>
      <c r="L11" s="35"/>
      <c r="M11" s="35"/>
      <c r="N11" s="35"/>
      <c r="O11" s="36">
        <f>SUM(C11:N11)</f>
        <v>0</v>
      </c>
    </row>
    <row r="12" spans="1:15">
      <c r="A12" s="41"/>
      <c r="B12" s="34" t="s">
        <v>1480</v>
      </c>
      <c r="C12" s="36" t="str">
        <f t="shared" ref="C12:N12" si="3">IF(C11=0,"",C10/C11)</f>
        <v/>
      </c>
      <c r="D12" s="36" t="str">
        <f t="shared" si="3"/>
        <v/>
      </c>
      <c r="E12" s="36" t="str">
        <f t="shared" si="3"/>
        <v/>
      </c>
      <c r="F12" s="36" t="str">
        <f t="shared" si="3"/>
        <v/>
      </c>
      <c r="G12" s="36" t="str">
        <f t="shared" si="3"/>
        <v/>
      </c>
      <c r="H12" s="36" t="str">
        <f t="shared" si="3"/>
        <v/>
      </c>
      <c r="I12" s="36" t="str">
        <f t="shared" si="3"/>
        <v/>
      </c>
      <c r="J12" s="36" t="str">
        <f t="shared" si="3"/>
        <v/>
      </c>
      <c r="K12" s="36" t="str">
        <f t="shared" si="3"/>
        <v/>
      </c>
      <c r="L12" s="36" t="str">
        <f t="shared" si="3"/>
        <v/>
      </c>
      <c r="M12" s="36" t="str">
        <f t="shared" si="3"/>
        <v/>
      </c>
      <c r="N12" s="36" t="str">
        <f t="shared" si="3"/>
        <v/>
      </c>
      <c r="O12" s="36">
        <f>IF(O11=0,0,O10/O11)</f>
        <v>0</v>
      </c>
    </row>
    <row r="13" spans="1:15">
      <c r="A13" s="41"/>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spans="1:15">
      <c r="A14" s="41"/>
      <c r="B14" s="42" t="str">
        <f t="shared" ref="B14:B17" si="5">IF(B5&lt;&gt;"",CONCATENATE(B5,"比重"),"")</f>
        <v>直接材料比重</v>
      </c>
      <c r="C14" s="21">
        <f t="shared" ref="C14:C18" si="6">IF($C$9=0,0,C5/$C$9)</f>
        <v>0</v>
      </c>
      <c r="D14" s="21">
        <f t="shared" ref="D14:D18" si="7">IF($D$9=0,0,D5/$D$9)</f>
        <v>0</v>
      </c>
      <c r="E14" s="21">
        <f t="shared" ref="E14:E18" si="8">IF($E$9=0,0,E5/$E$9)</f>
        <v>0</v>
      </c>
      <c r="F14" s="21">
        <f t="shared" ref="F14:F18" si="9">IF($F$9=0,0,F5/$F$9)</f>
        <v>0</v>
      </c>
      <c r="G14" s="21">
        <f t="shared" ref="G14:G18" si="10">IF($G$9=0,0,G5/$G$9)</f>
        <v>0</v>
      </c>
      <c r="H14" s="21">
        <f t="shared" ref="H14:H18" si="11">IF($H$9=0,0,H5/$H$9)</f>
        <v>0</v>
      </c>
      <c r="I14" s="21">
        <f t="shared" ref="I14:I18" si="12">IF($I$9=0,0,I5/$I$9)</f>
        <v>0</v>
      </c>
      <c r="J14" s="21">
        <f t="shared" ref="J14:J18" si="13">IF($J$9=0,0,J5/$J$9)</f>
        <v>0</v>
      </c>
      <c r="K14" s="21">
        <f t="shared" ref="K14:K18" si="14">IF($K$9=0,0,K5/$K$9)</f>
        <v>0</v>
      </c>
      <c r="L14" s="21">
        <f t="shared" ref="L14:L18" si="15">IF($L$9=0,0,L5/$L$9)</f>
        <v>0</v>
      </c>
      <c r="M14" s="21">
        <f t="shared" ref="M14:M18" si="16">IF($M$9=0,0,M5/$M$9)</f>
        <v>0</v>
      </c>
      <c r="N14" s="21">
        <f t="shared" ref="N14:N18" si="17">IF($N$9=0,0,N5/$N$9)</f>
        <v>0</v>
      </c>
      <c r="O14" s="21">
        <f t="shared" ref="O14:O18" si="18">IF($O$9=0,0,O5/$O$9)</f>
        <v>0</v>
      </c>
    </row>
    <row r="15" spans="1:15">
      <c r="A15" s="41"/>
      <c r="B15" s="42" t="str">
        <f t="shared" si="5"/>
        <v>直接人工比重</v>
      </c>
      <c r="C15" s="21">
        <f t="shared" si="6"/>
        <v>0</v>
      </c>
      <c r="D15" s="21">
        <f t="shared" si="7"/>
        <v>0</v>
      </c>
      <c r="E15" s="21">
        <f t="shared" si="8"/>
        <v>0</v>
      </c>
      <c r="F15" s="21">
        <f t="shared" si="9"/>
        <v>0</v>
      </c>
      <c r="G15" s="21">
        <f t="shared" si="10"/>
        <v>0</v>
      </c>
      <c r="H15" s="21">
        <f t="shared" si="11"/>
        <v>0</v>
      </c>
      <c r="I15" s="21">
        <f t="shared" si="12"/>
        <v>0</v>
      </c>
      <c r="J15" s="21">
        <f t="shared" si="13"/>
        <v>0</v>
      </c>
      <c r="K15" s="21">
        <f t="shared" si="14"/>
        <v>0</v>
      </c>
      <c r="L15" s="21">
        <f t="shared" si="15"/>
        <v>0</v>
      </c>
      <c r="M15" s="21">
        <f t="shared" si="16"/>
        <v>0</v>
      </c>
      <c r="N15" s="21">
        <f t="shared" si="17"/>
        <v>0</v>
      </c>
      <c r="O15" s="21">
        <f t="shared" si="18"/>
        <v>0</v>
      </c>
    </row>
    <row r="16" spans="1:15">
      <c r="A16" s="41"/>
      <c r="B16" s="42" t="str">
        <f t="shared" si="5"/>
        <v>制造费用比重</v>
      </c>
      <c r="C16" s="21">
        <f t="shared" si="6"/>
        <v>0</v>
      </c>
      <c r="D16" s="21">
        <f t="shared" si="7"/>
        <v>0</v>
      </c>
      <c r="E16" s="21">
        <f t="shared" si="8"/>
        <v>0</v>
      </c>
      <c r="F16" s="21">
        <f t="shared" si="9"/>
        <v>0</v>
      </c>
      <c r="G16" s="21">
        <f t="shared" si="10"/>
        <v>0</v>
      </c>
      <c r="H16" s="21">
        <f t="shared" si="11"/>
        <v>0</v>
      </c>
      <c r="I16" s="21">
        <f t="shared" si="12"/>
        <v>0</v>
      </c>
      <c r="J16" s="21">
        <f t="shared" si="13"/>
        <v>0</v>
      </c>
      <c r="K16" s="21">
        <f t="shared" si="14"/>
        <v>0</v>
      </c>
      <c r="L16" s="21">
        <f t="shared" si="15"/>
        <v>0</v>
      </c>
      <c r="M16" s="21">
        <f t="shared" si="16"/>
        <v>0</v>
      </c>
      <c r="N16" s="21">
        <f t="shared" si="17"/>
        <v>0</v>
      </c>
      <c r="O16" s="21">
        <f t="shared" si="18"/>
        <v>0</v>
      </c>
    </row>
    <row r="17" spans="1:15">
      <c r="A17" s="41"/>
      <c r="B17" s="42" t="str">
        <f t="shared" si="5"/>
        <v>其他比重</v>
      </c>
      <c r="C17" s="21">
        <f t="shared" si="6"/>
        <v>0</v>
      </c>
      <c r="D17" s="21">
        <f t="shared" si="7"/>
        <v>0</v>
      </c>
      <c r="E17" s="21">
        <f t="shared" si="8"/>
        <v>0</v>
      </c>
      <c r="F17" s="21">
        <f t="shared" si="9"/>
        <v>0</v>
      </c>
      <c r="G17" s="21">
        <f t="shared" si="10"/>
        <v>0</v>
      </c>
      <c r="H17" s="21">
        <f t="shared" si="11"/>
        <v>0</v>
      </c>
      <c r="I17" s="21">
        <f t="shared" si="12"/>
        <v>0</v>
      </c>
      <c r="J17" s="21">
        <f t="shared" si="13"/>
        <v>0</v>
      </c>
      <c r="K17" s="21">
        <f t="shared" si="14"/>
        <v>0</v>
      </c>
      <c r="L17" s="21">
        <f t="shared" si="15"/>
        <v>0</v>
      </c>
      <c r="M17" s="21">
        <f t="shared" si="16"/>
        <v>0</v>
      </c>
      <c r="N17" s="21">
        <f t="shared" si="17"/>
        <v>0</v>
      </c>
      <c r="O17" s="21">
        <f t="shared" si="18"/>
        <v>0</v>
      </c>
    </row>
    <row r="18" spans="1:15">
      <c r="A18" s="43"/>
      <c r="B18" s="44" t="s">
        <v>689</v>
      </c>
      <c r="C18" s="45">
        <f t="shared" si="6"/>
        <v>0</v>
      </c>
      <c r="D18" s="45">
        <f t="shared" si="7"/>
        <v>0</v>
      </c>
      <c r="E18" s="45">
        <f t="shared" si="8"/>
        <v>0</v>
      </c>
      <c r="F18" s="45">
        <f t="shared" si="9"/>
        <v>0</v>
      </c>
      <c r="G18" s="45">
        <f t="shared" si="10"/>
        <v>0</v>
      </c>
      <c r="H18" s="45">
        <f t="shared" si="11"/>
        <v>0</v>
      </c>
      <c r="I18" s="45">
        <f t="shared" si="12"/>
        <v>0</v>
      </c>
      <c r="J18" s="45">
        <f t="shared" si="13"/>
        <v>0</v>
      </c>
      <c r="K18" s="45">
        <f t="shared" si="14"/>
        <v>0</v>
      </c>
      <c r="L18" s="45">
        <f t="shared" si="15"/>
        <v>0</v>
      </c>
      <c r="M18" s="45">
        <f t="shared" si="16"/>
        <v>0</v>
      </c>
      <c r="N18" s="45">
        <f t="shared" si="17"/>
        <v>0</v>
      </c>
      <c r="O18" s="45">
        <f t="shared" si="18"/>
        <v>0</v>
      </c>
    </row>
    <row r="19" spans="1:9">
      <c r="A19" s="4" t="s">
        <v>1497</v>
      </c>
      <c r="I19" s="4" t="s">
        <v>1498</v>
      </c>
    </row>
    <row r="31" s="3" customFormat="1" spans="1:25">
      <c r="A31" s="4" t="s">
        <v>1499</v>
      </c>
      <c r="C31" s="2"/>
      <c r="D31" s="2"/>
      <c r="E31" s="2"/>
      <c r="F31" s="2"/>
      <c r="G31" s="2"/>
      <c r="H31" s="2"/>
      <c r="I31" s="2"/>
      <c r="J31" s="2"/>
      <c r="K31" s="2"/>
      <c r="L31" s="2"/>
      <c r="M31" s="2"/>
      <c r="N31" s="2"/>
      <c r="O31" s="2"/>
      <c r="P31" s="2"/>
      <c r="Q31" s="2"/>
      <c r="R31" s="2"/>
      <c r="S31" s="2"/>
      <c r="T31" s="2"/>
      <c r="U31" s="2"/>
      <c r="V31" s="2"/>
      <c r="W31" s="2"/>
      <c r="X31" s="2"/>
      <c r="Y31" s="2"/>
    </row>
  </sheetData>
  <mergeCells count="1">
    <mergeCell ref="A4:A18"/>
  </mergeCells>
  <pageMargins left="0.75" right="0.75" top="1" bottom="1" header="0.509027777777778" footer="0.509027777777778"/>
  <headerFooter/>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5"/>
  <dimension ref="A1:AA128"/>
  <sheetViews>
    <sheetView workbookViewId="0">
      <selection activeCell="I15" sqref="I15"/>
    </sheetView>
  </sheetViews>
  <sheetFormatPr defaultColWidth="9" defaultRowHeight="11.25"/>
  <cols>
    <col min="1" max="1" width="6" style="4" customWidth="1"/>
    <col min="2" max="13" width="8.125" style="4" customWidth="1"/>
    <col min="14" max="14" width="7.875" style="4" customWidth="1"/>
    <col min="15" max="15" width="8.5" style="4" customWidth="1"/>
    <col min="16" max="16384" width="9" style="4"/>
  </cols>
  <sheetData>
    <row r="1" s="2" customFormat="1" ht="13.5" customHeight="1" spans="1:27">
      <c r="A1" s="4" t="s">
        <v>1462</v>
      </c>
      <c r="B1" s="3"/>
      <c r="E1" s="4" t="s">
        <v>1463</v>
      </c>
      <c r="H1" s="4" t="s">
        <v>1435</v>
      </c>
      <c r="N1" s="24"/>
      <c r="S1" s="4"/>
      <c r="X1" s="4"/>
      <c r="AA1" s="24"/>
    </row>
    <row r="2" s="2" customFormat="1" ht="12" customHeight="1" spans="1:27">
      <c r="A2" s="5" t="s">
        <v>1433</v>
      </c>
      <c r="B2" s="6"/>
      <c r="D2" s="7"/>
      <c r="E2" s="5" t="s">
        <v>1434</v>
      </c>
      <c r="F2" s="7"/>
      <c r="G2" s="7"/>
      <c r="H2" s="5" t="s">
        <v>1435</v>
      </c>
      <c r="I2" s="7"/>
      <c r="J2" s="7"/>
      <c r="K2" s="7"/>
      <c r="O2" s="25" t="s">
        <v>1436</v>
      </c>
      <c r="Q2" s="7"/>
      <c r="S2" s="5"/>
      <c r="T2" s="7"/>
      <c r="V2" s="7"/>
      <c r="W2" s="7"/>
      <c r="X2" s="5"/>
      <c r="AA2" s="25"/>
    </row>
    <row r="3" s="3" customFormat="1" ht="12" spans="1:15">
      <c r="A3" s="31" t="s">
        <v>1496</v>
      </c>
      <c r="B3" s="31" t="s">
        <v>1051</v>
      </c>
      <c r="C3" s="32" t="s">
        <v>1437</v>
      </c>
      <c r="D3" s="32" t="s">
        <v>1438</v>
      </c>
      <c r="E3" s="32" t="s">
        <v>1439</v>
      </c>
      <c r="F3" s="32" t="s">
        <v>1440</v>
      </c>
      <c r="G3" s="32" t="s">
        <v>1441</v>
      </c>
      <c r="H3" s="32" t="s">
        <v>1442</v>
      </c>
      <c r="I3" s="32" t="s">
        <v>1443</v>
      </c>
      <c r="J3" s="32" t="s">
        <v>1444</v>
      </c>
      <c r="K3" s="32" t="s">
        <v>1445</v>
      </c>
      <c r="L3" s="32" t="s">
        <v>1446</v>
      </c>
      <c r="M3" s="32" t="s">
        <v>1447</v>
      </c>
      <c r="N3" s="32" t="s">
        <v>1448</v>
      </c>
      <c r="O3" s="31" t="s">
        <v>689</v>
      </c>
    </row>
    <row r="4" ht="12" customHeight="1" spans="1:15">
      <c r="A4" s="33" t="s">
        <v>1222</v>
      </c>
      <c r="B4" s="34" t="s">
        <v>1451</v>
      </c>
      <c r="C4" s="35"/>
      <c r="D4" s="36">
        <f t="shared" ref="D4:N4" si="0">C13</f>
        <v>0</v>
      </c>
      <c r="E4" s="36">
        <f t="shared" si="0"/>
        <v>0</v>
      </c>
      <c r="F4" s="36">
        <f t="shared" si="0"/>
        <v>0</v>
      </c>
      <c r="G4" s="36">
        <f t="shared" si="0"/>
        <v>0</v>
      </c>
      <c r="H4" s="36">
        <f t="shared" si="0"/>
        <v>0</v>
      </c>
      <c r="I4" s="36">
        <f t="shared" si="0"/>
        <v>0</v>
      </c>
      <c r="J4" s="36">
        <f t="shared" si="0"/>
        <v>0</v>
      </c>
      <c r="K4" s="36">
        <f t="shared" si="0"/>
        <v>0</v>
      </c>
      <c r="L4" s="36">
        <f t="shared" si="0"/>
        <v>0</v>
      </c>
      <c r="M4" s="36">
        <f t="shared" si="0"/>
        <v>0</v>
      </c>
      <c r="N4" s="36">
        <f t="shared" si="0"/>
        <v>0</v>
      </c>
      <c r="O4" s="36">
        <f>C4</f>
        <v>0</v>
      </c>
    </row>
    <row r="5" ht="12" customHeight="1" spans="1:15">
      <c r="A5" s="37"/>
      <c r="B5" s="38" t="s">
        <v>1452</v>
      </c>
      <c r="C5" s="35"/>
      <c r="D5" s="35"/>
      <c r="E5" s="35"/>
      <c r="F5" s="35"/>
      <c r="G5" s="35"/>
      <c r="H5" s="35"/>
      <c r="I5" s="35"/>
      <c r="J5" s="35"/>
      <c r="K5" s="35"/>
      <c r="L5" s="35"/>
      <c r="M5" s="35"/>
      <c r="N5" s="35"/>
      <c r="O5" s="36">
        <f t="shared" ref="O5:O8" si="1">SUM(C5:N5)</f>
        <v>0</v>
      </c>
    </row>
    <row r="6" ht="12" customHeight="1" spans="1:15">
      <c r="A6" s="37"/>
      <c r="B6" s="38" t="s">
        <v>1453</v>
      </c>
      <c r="C6" s="35"/>
      <c r="D6" s="35"/>
      <c r="E6" s="35"/>
      <c r="F6" s="35"/>
      <c r="G6" s="35"/>
      <c r="H6" s="35"/>
      <c r="I6" s="35"/>
      <c r="J6" s="35"/>
      <c r="K6" s="35"/>
      <c r="L6" s="35"/>
      <c r="M6" s="35"/>
      <c r="N6" s="35"/>
      <c r="O6" s="36">
        <f t="shared" si="1"/>
        <v>0</v>
      </c>
    </row>
    <row r="7" ht="12" customHeight="1" spans="1:15">
      <c r="A7" s="37"/>
      <c r="B7" s="38" t="s">
        <v>1454</v>
      </c>
      <c r="C7" s="35"/>
      <c r="D7" s="35"/>
      <c r="E7" s="35"/>
      <c r="F7" s="35"/>
      <c r="G7" s="35"/>
      <c r="H7" s="35"/>
      <c r="I7" s="35"/>
      <c r="J7" s="35"/>
      <c r="K7" s="35"/>
      <c r="L7" s="35"/>
      <c r="M7" s="35"/>
      <c r="N7" s="35"/>
      <c r="O7" s="36">
        <f t="shared" si="1"/>
        <v>0</v>
      </c>
    </row>
    <row r="8" ht="12" customHeight="1" spans="1:15">
      <c r="A8" s="37"/>
      <c r="B8" s="38" t="s">
        <v>554</v>
      </c>
      <c r="C8" s="35"/>
      <c r="D8" s="35"/>
      <c r="E8" s="35"/>
      <c r="F8" s="35"/>
      <c r="G8" s="35"/>
      <c r="H8" s="35"/>
      <c r="I8" s="35"/>
      <c r="J8" s="35"/>
      <c r="K8" s="35"/>
      <c r="L8" s="35"/>
      <c r="M8" s="35"/>
      <c r="N8" s="35"/>
      <c r="O8" s="36">
        <f t="shared" si="1"/>
        <v>0</v>
      </c>
    </row>
    <row r="9" ht="12" customHeight="1" spans="1:15">
      <c r="A9" s="37"/>
      <c r="B9" s="34" t="s">
        <v>689</v>
      </c>
      <c r="C9" s="36">
        <f t="shared" ref="C9:O9" si="2">SUM(C5:C8)</f>
        <v>0</v>
      </c>
      <c r="D9" s="36">
        <f t="shared" si="2"/>
        <v>0</v>
      </c>
      <c r="E9" s="36">
        <f t="shared" si="2"/>
        <v>0</v>
      </c>
      <c r="F9" s="36">
        <f t="shared" si="2"/>
        <v>0</v>
      </c>
      <c r="G9" s="36">
        <f t="shared" si="2"/>
        <v>0</v>
      </c>
      <c r="H9" s="36">
        <f t="shared" si="2"/>
        <v>0</v>
      </c>
      <c r="I9" s="36">
        <f t="shared" si="2"/>
        <v>0</v>
      </c>
      <c r="J9" s="36">
        <f t="shared" si="2"/>
        <v>0</v>
      </c>
      <c r="K9" s="36">
        <f t="shared" si="2"/>
        <v>0</v>
      </c>
      <c r="L9" s="36">
        <f t="shared" si="2"/>
        <v>0</v>
      </c>
      <c r="M9" s="36">
        <f t="shared" si="2"/>
        <v>0</v>
      </c>
      <c r="N9" s="36">
        <f t="shared" si="2"/>
        <v>0</v>
      </c>
      <c r="O9" s="36">
        <f t="shared" si="2"/>
        <v>0</v>
      </c>
    </row>
    <row r="10" ht="12" customHeight="1" spans="1:15">
      <c r="A10" s="37"/>
      <c r="B10" s="38" t="s">
        <v>1455</v>
      </c>
      <c r="C10" s="35"/>
      <c r="D10" s="35"/>
      <c r="E10" s="35"/>
      <c r="F10" s="35"/>
      <c r="G10" s="35"/>
      <c r="H10" s="35"/>
      <c r="I10" s="35"/>
      <c r="J10" s="35"/>
      <c r="K10" s="35"/>
      <c r="L10" s="35"/>
      <c r="M10" s="35"/>
      <c r="N10" s="35"/>
      <c r="O10" s="36">
        <f>SUM(O6:O9)</f>
        <v>0</v>
      </c>
    </row>
    <row r="11" ht="12" customHeight="1" spans="1:15">
      <c r="A11" s="37"/>
      <c r="B11" s="38" t="s">
        <v>1479</v>
      </c>
      <c r="C11" s="35"/>
      <c r="D11" s="35"/>
      <c r="E11" s="35"/>
      <c r="F11" s="35"/>
      <c r="G11" s="35"/>
      <c r="H11" s="35"/>
      <c r="I11" s="35"/>
      <c r="J11" s="35"/>
      <c r="K11" s="35"/>
      <c r="L11" s="35"/>
      <c r="M11" s="35"/>
      <c r="N11" s="35"/>
      <c r="O11" s="36">
        <f>SUM(O7:O10)</f>
        <v>0</v>
      </c>
    </row>
    <row r="12" ht="12" customHeight="1" spans="1:15">
      <c r="A12" s="37"/>
      <c r="B12" s="34" t="s">
        <v>1480</v>
      </c>
      <c r="C12" s="36">
        <f t="shared" ref="C12:O12" si="3">IF(C11=0,0,C10/C11)</f>
        <v>0</v>
      </c>
      <c r="D12" s="36">
        <f t="shared" si="3"/>
        <v>0</v>
      </c>
      <c r="E12" s="36">
        <f t="shared" si="3"/>
        <v>0</v>
      </c>
      <c r="F12" s="36">
        <f t="shared" si="3"/>
        <v>0</v>
      </c>
      <c r="G12" s="36">
        <f t="shared" si="3"/>
        <v>0</v>
      </c>
      <c r="H12" s="36">
        <f t="shared" si="3"/>
        <v>0</v>
      </c>
      <c r="I12" s="36">
        <f t="shared" si="3"/>
        <v>0</v>
      </c>
      <c r="J12" s="36">
        <f t="shared" si="3"/>
        <v>0</v>
      </c>
      <c r="K12" s="36">
        <f t="shared" si="3"/>
        <v>0</v>
      </c>
      <c r="L12" s="36">
        <f t="shared" si="3"/>
        <v>0</v>
      </c>
      <c r="M12" s="36">
        <f t="shared" si="3"/>
        <v>0</v>
      </c>
      <c r="N12" s="36">
        <f t="shared" si="3"/>
        <v>0</v>
      </c>
      <c r="O12" s="36">
        <f t="shared" si="3"/>
        <v>0</v>
      </c>
    </row>
    <row r="13" ht="12" customHeight="1" spans="1:15">
      <c r="A13" s="39"/>
      <c r="B13" s="34" t="s">
        <v>1456</v>
      </c>
      <c r="C13" s="36">
        <f t="shared" ref="C13:O13" si="4">C4+C9-C10</f>
        <v>0</v>
      </c>
      <c r="D13" s="36">
        <f t="shared" si="4"/>
        <v>0</v>
      </c>
      <c r="E13" s="36">
        <f t="shared" si="4"/>
        <v>0</v>
      </c>
      <c r="F13" s="36">
        <f t="shared" si="4"/>
        <v>0</v>
      </c>
      <c r="G13" s="36">
        <f t="shared" si="4"/>
        <v>0</v>
      </c>
      <c r="H13" s="36">
        <f t="shared" si="4"/>
        <v>0</v>
      </c>
      <c r="I13" s="36">
        <f t="shared" si="4"/>
        <v>0</v>
      </c>
      <c r="J13" s="36">
        <f t="shared" si="4"/>
        <v>0</v>
      </c>
      <c r="K13" s="36">
        <f t="shared" si="4"/>
        <v>0</v>
      </c>
      <c r="L13" s="36">
        <f t="shared" si="4"/>
        <v>0</v>
      </c>
      <c r="M13" s="36">
        <f t="shared" si="4"/>
        <v>0</v>
      </c>
      <c r="N13" s="36">
        <f t="shared" si="4"/>
        <v>0</v>
      </c>
      <c r="O13" s="36">
        <f t="shared" si="4"/>
        <v>0</v>
      </c>
    </row>
    <row r="14" ht="12" customHeight="1" spans="1:15">
      <c r="A14" s="33" t="s">
        <v>1500</v>
      </c>
      <c r="B14" s="34" t="s">
        <v>1451</v>
      </c>
      <c r="C14" s="35"/>
      <c r="D14" s="36">
        <f t="shared" ref="D14:N14" si="5">C23</f>
        <v>0</v>
      </c>
      <c r="E14" s="36">
        <f t="shared" si="5"/>
        <v>0</v>
      </c>
      <c r="F14" s="36">
        <f t="shared" si="5"/>
        <v>0</v>
      </c>
      <c r="G14" s="36">
        <f t="shared" si="5"/>
        <v>0</v>
      </c>
      <c r="H14" s="36">
        <f t="shared" si="5"/>
        <v>0</v>
      </c>
      <c r="I14" s="36">
        <f t="shared" si="5"/>
        <v>0</v>
      </c>
      <c r="J14" s="36">
        <f t="shared" si="5"/>
        <v>0</v>
      </c>
      <c r="K14" s="36">
        <f t="shared" si="5"/>
        <v>0</v>
      </c>
      <c r="L14" s="36">
        <f t="shared" si="5"/>
        <v>0</v>
      </c>
      <c r="M14" s="36">
        <f t="shared" si="5"/>
        <v>0</v>
      </c>
      <c r="N14" s="36">
        <f t="shared" si="5"/>
        <v>0</v>
      </c>
      <c r="O14" s="36">
        <f>C14</f>
        <v>0</v>
      </c>
    </row>
    <row r="15" ht="12" customHeight="1" spans="1:15">
      <c r="A15" s="37"/>
      <c r="B15" s="38" t="s">
        <v>1452</v>
      </c>
      <c r="C15" s="35"/>
      <c r="D15" s="35"/>
      <c r="E15" s="35"/>
      <c r="F15" s="35"/>
      <c r="G15" s="35"/>
      <c r="H15" s="35"/>
      <c r="I15" s="35"/>
      <c r="J15" s="35"/>
      <c r="K15" s="35"/>
      <c r="L15" s="35"/>
      <c r="M15" s="35"/>
      <c r="N15" s="35"/>
      <c r="O15" s="36">
        <f t="shared" ref="O15:O18" si="6">SUM(C15:N15)</f>
        <v>0</v>
      </c>
    </row>
    <row r="16" ht="12" customHeight="1" spans="1:15">
      <c r="A16" s="37"/>
      <c r="B16" s="38" t="s">
        <v>1453</v>
      </c>
      <c r="C16" s="35"/>
      <c r="D16" s="35"/>
      <c r="E16" s="35"/>
      <c r="F16" s="35"/>
      <c r="G16" s="35"/>
      <c r="H16" s="35"/>
      <c r="I16" s="35"/>
      <c r="J16" s="35"/>
      <c r="K16" s="35"/>
      <c r="L16" s="35"/>
      <c r="M16" s="35"/>
      <c r="N16" s="35"/>
      <c r="O16" s="36">
        <f t="shared" si="6"/>
        <v>0</v>
      </c>
    </row>
    <row r="17" ht="12" customHeight="1" spans="1:15">
      <c r="A17" s="37"/>
      <c r="B17" s="38" t="s">
        <v>1454</v>
      </c>
      <c r="C17" s="35"/>
      <c r="D17" s="35"/>
      <c r="E17" s="35"/>
      <c r="F17" s="35"/>
      <c r="G17" s="35"/>
      <c r="H17" s="35"/>
      <c r="I17" s="35"/>
      <c r="J17" s="35"/>
      <c r="K17" s="35"/>
      <c r="L17" s="35"/>
      <c r="M17" s="35"/>
      <c r="N17" s="35"/>
      <c r="O17" s="36">
        <f t="shared" si="6"/>
        <v>0</v>
      </c>
    </row>
    <row r="18" ht="12" customHeight="1" spans="1:15">
      <c r="A18" s="37"/>
      <c r="B18" s="38" t="s">
        <v>554</v>
      </c>
      <c r="C18" s="35"/>
      <c r="D18" s="35"/>
      <c r="E18" s="35"/>
      <c r="F18" s="35"/>
      <c r="G18" s="35"/>
      <c r="H18" s="35"/>
      <c r="I18" s="35"/>
      <c r="J18" s="35"/>
      <c r="K18" s="35"/>
      <c r="L18" s="35"/>
      <c r="M18" s="35"/>
      <c r="N18" s="35"/>
      <c r="O18" s="36">
        <f t="shared" si="6"/>
        <v>0</v>
      </c>
    </row>
    <row r="19" ht="12" customHeight="1" spans="1:15">
      <c r="A19" s="37"/>
      <c r="B19" s="34" t="s">
        <v>689</v>
      </c>
      <c r="C19" s="36">
        <f t="shared" ref="C19:O19" si="7">SUM(C15:C18)</f>
        <v>0</v>
      </c>
      <c r="D19" s="36">
        <f t="shared" si="7"/>
        <v>0</v>
      </c>
      <c r="E19" s="36">
        <f t="shared" si="7"/>
        <v>0</v>
      </c>
      <c r="F19" s="36">
        <f t="shared" si="7"/>
        <v>0</v>
      </c>
      <c r="G19" s="36">
        <f t="shared" si="7"/>
        <v>0</v>
      </c>
      <c r="H19" s="36">
        <f t="shared" si="7"/>
        <v>0</v>
      </c>
      <c r="I19" s="36">
        <f t="shared" si="7"/>
        <v>0</v>
      </c>
      <c r="J19" s="36">
        <f t="shared" si="7"/>
        <v>0</v>
      </c>
      <c r="K19" s="36">
        <f t="shared" si="7"/>
        <v>0</v>
      </c>
      <c r="L19" s="36">
        <f t="shared" si="7"/>
        <v>0</v>
      </c>
      <c r="M19" s="36">
        <f t="shared" si="7"/>
        <v>0</v>
      </c>
      <c r="N19" s="36">
        <f t="shared" si="7"/>
        <v>0</v>
      </c>
      <c r="O19" s="36">
        <f t="shared" si="7"/>
        <v>0</v>
      </c>
    </row>
    <row r="20" ht="12" customHeight="1" spans="1:15">
      <c r="A20" s="37"/>
      <c r="B20" s="38" t="s">
        <v>1455</v>
      </c>
      <c r="C20" s="35"/>
      <c r="D20" s="35"/>
      <c r="E20" s="35"/>
      <c r="F20" s="35"/>
      <c r="G20" s="35"/>
      <c r="H20" s="35"/>
      <c r="I20" s="35"/>
      <c r="J20" s="35"/>
      <c r="K20" s="35"/>
      <c r="L20" s="35"/>
      <c r="M20" s="35"/>
      <c r="N20" s="35"/>
      <c r="O20" s="36">
        <f>SUM(O16:O19)</f>
        <v>0</v>
      </c>
    </row>
    <row r="21" ht="12" customHeight="1" spans="1:15">
      <c r="A21" s="37"/>
      <c r="B21" s="38" t="s">
        <v>1479</v>
      </c>
      <c r="C21" s="35"/>
      <c r="D21" s="35"/>
      <c r="E21" s="35"/>
      <c r="F21" s="35"/>
      <c r="G21" s="35"/>
      <c r="H21" s="35"/>
      <c r="I21" s="35"/>
      <c r="J21" s="35"/>
      <c r="K21" s="35"/>
      <c r="L21" s="35"/>
      <c r="M21" s="35"/>
      <c r="N21" s="35"/>
      <c r="O21" s="36">
        <f>SUM(O17:O20)</f>
        <v>0</v>
      </c>
    </row>
    <row r="22" ht="12" customHeight="1" spans="1:15">
      <c r="A22" s="37"/>
      <c r="B22" s="34" t="s">
        <v>1480</v>
      </c>
      <c r="C22" s="36">
        <f t="shared" ref="C22:O22" si="8">IF(C21=0,0,C20/C21)</f>
        <v>0</v>
      </c>
      <c r="D22" s="36">
        <f t="shared" si="8"/>
        <v>0</v>
      </c>
      <c r="E22" s="36">
        <f t="shared" si="8"/>
        <v>0</v>
      </c>
      <c r="F22" s="36">
        <f t="shared" si="8"/>
        <v>0</v>
      </c>
      <c r="G22" s="36">
        <f t="shared" si="8"/>
        <v>0</v>
      </c>
      <c r="H22" s="36">
        <f t="shared" si="8"/>
        <v>0</v>
      </c>
      <c r="I22" s="36">
        <f t="shared" si="8"/>
        <v>0</v>
      </c>
      <c r="J22" s="36">
        <f t="shared" si="8"/>
        <v>0</v>
      </c>
      <c r="K22" s="36">
        <f t="shared" si="8"/>
        <v>0</v>
      </c>
      <c r="L22" s="36">
        <f t="shared" si="8"/>
        <v>0</v>
      </c>
      <c r="M22" s="36">
        <f t="shared" si="8"/>
        <v>0</v>
      </c>
      <c r="N22" s="36">
        <f t="shared" si="8"/>
        <v>0</v>
      </c>
      <c r="O22" s="36">
        <f t="shared" si="8"/>
        <v>0</v>
      </c>
    </row>
    <row r="23" ht="12" customHeight="1" spans="1:15">
      <c r="A23" s="39"/>
      <c r="B23" s="34" t="s">
        <v>1456</v>
      </c>
      <c r="C23" s="36">
        <f t="shared" ref="C23:O23" si="9">C14+C19-C20</f>
        <v>0</v>
      </c>
      <c r="D23" s="36">
        <f t="shared" si="9"/>
        <v>0</v>
      </c>
      <c r="E23" s="36">
        <f t="shared" si="9"/>
        <v>0</v>
      </c>
      <c r="F23" s="36">
        <f t="shared" si="9"/>
        <v>0</v>
      </c>
      <c r="G23" s="36">
        <f t="shared" si="9"/>
        <v>0</v>
      </c>
      <c r="H23" s="36">
        <f t="shared" si="9"/>
        <v>0</v>
      </c>
      <c r="I23" s="36">
        <f t="shared" si="9"/>
        <v>0</v>
      </c>
      <c r="J23" s="36">
        <f t="shared" si="9"/>
        <v>0</v>
      </c>
      <c r="K23" s="36">
        <f t="shared" si="9"/>
        <v>0</v>
      </c>
      <c r="L23" s="36">
        <f t="shared" si="9"/>
        <v>0</v>
      </c>
      <c r="M23" s="36">
        <f t="shared" si="9"/>
        <v>0</v>
      </c>
      <c r="N23" s="36">
        <f t="shared" si="9"/>
        <v>0</v>
      </c>
      <c r="O23" s="36">
        <f t="shared" si="9"/>
        <v>0</v>
      </c>
    </row>
    <row r="24" ht="12" customHeight="1" spans="1:15">
      <c r="A24" s="33" t="s">
        <v>1501</v>
      </c>
      <c r="B24" s="34" t="s">
        <v>1451</v>
      </c>
      <c r="C24" s="35"/>
      <c r="D24" s="36">
        <f>C33</f>
        <v>0</v>
      </c>
      <c r="E24" s="36">
        <f t="shared" ref="E24:N24" si="10">C33</f>
        <v>0</v>
      </c>
      <c r="F24" s="36">
        <f t="shared" si="10"/>
        <v>0</v>
      </c>
      <c r="G24" s="36">
        <f t="shared" si="10"/>
        <v>0</v>
      </c>
      <c r="H24" s="36">
        <f t="shared" si="10"/>
        <v>0</v>
      </c>
      <c r="I24" s="36">
        <f t="shared" si="10"/>
        <v>0</v>
      </c>
      <c r="J24" s="36">
        <f t="shared" si="10"/>
        <v>0</v>
      </c>
      <c r="K24" s="36">
        <f t="shared" si="10"/>
        <v>0</v>
      </c>
      <c r="L24" s="36">
        <f t="shared" si="10"/>
        <v>0</v>
      </c>
      <c r="M24" s="36">
        <f t="shared" si="10"/>
        <v>0</v>
      </c>
      <c r="N24" s="36">
        <f t="shared" si="10"/>
        <v>0</v>
      </c>
      <c r="O24" s="36">
        <f>C24</f>
        <v>0</v>
      </c>
    </row>
    <row r="25" ht="12" customHeight="1" spans="1:15">
      <c r="A25" s="37"/>
      <c r="B25" s="38" t="s">
        <v>1452</v>
      </c>
      <c r="C25" s="35"/>
      <c r="D25" s="35"/>
      <c r="E25" s="35"/>
      <c r="F25" s="35"/>
      <c r="G25" s="35"/>
      <c r="H25" s="35"/>
      <c r="I25" s="35"/>
      <c r="J25" s="35"/>
      <c r="K25" s="35"/>
      <c r="L25" s="35"/>
      <c r="M25" s="35"/>
      <c r="N25" s="35"/>
      <c r="O25" s="36">
        <f t="shared" ref="O25:O28" si="11">SUM(C25:N25)</f>
        <v>0</v>
      </c>
    </row>
    <row r="26" ht="12" customHeight="1" spans="1:15">
      <c r="A26" s="37"/>
      <c r="B26" s="38" t="s">
        <v>1453</v>
      </c>
      <c r="C26" s="35"/>
      <c r="D26" s="35"/>
      <c r="E26" s="35"/>
      <c r="F26" s="35"/>
      <c r="G26" s="35"/>
      <c r="H26" s="35"/>
      <c r="I26" s="35"/>
      <c r="J26" s="35"/>
      <c r="K26" s="35"/>
      <c r="L26" s="35"/>
      <c r="M26" s="35"/>
      <c r="N26" s="35"/>
      <c r="O26" s="36">
        <f t="shared" si="11"/>
        <v>0</v>
      </c>
    </row>
    <row r="27" ht="12" customHeight="1" spans="1:15">
      <c r="A27" s="37"/>
      <c r="B27" s="38" t="s">
        <v>1454</v>
      </c>
      <c r="C27" s="35"/>
      <c r="D27" s="35"/>
      <c r="E27" s="35"/>
      <c r="F27" s="35"/>
      <c r="G27" s="35"/>
      <c r="H27" s="35"/>
      <c r="I27" s="35"/>
      <c r="J27" s="35"/>
      <c r="K27" s="35"/>
      <c r="L27" s="35"/>
      <c r="M27" s="35"/>
      <c r="N27" s="35"/>
      <c r="O27" s="36">
        <f t="shared" si="11"/>
        <v>0</v>
      </c>
    </row>
    <row r="28" ht="12" customHeight="1" spans="1:15">
      <c r="A28" s="37"/>
      <c r="B28" s="38" t="s">
        <v>554</v>
      </c>
      <c r="C28" s="35"/>
      <c r="D28" s="35"/>
      <c r="E28" s="35"/>
      <c r="F28" s="35"/>
      <c r="G28" s="35"/>
      <c r="H28" s="35"/>
      <c r="I28" s="35"/>
      <c r="J28" s="35"/>
      <c r="K28" s="35"/>
      <c r="L28" s="35"/>
      <c r="M28" s="35"/>
      <c r="N28" s="35"/>
      <c r="O28" s="36">
        <f t="shared" si="11"/>
        <v>0</v>
      </c>
    </row>
    <row r="29" ht="12" customHeight="1" spans="1:15">
      <c r="A29" s="37"/>
      <c r="B29" s="34" t="s">
        <v>689</v>
      </c>
      <c r="C29" s="36">
        <f t="shared" ref="C29:O29" si="12">SUM(C25:C28)</f>
        <v>0</v>
      </c>
      <c r="D29" s="36">
        <f t="shared" si="12"/>
        <v>0</v>
      </c>
      <c r="E29" s="36">
        <f t="shared" si="12"/>
        <v>0</v>
      </c>
      <c r="F29" s="36">
        <f t="shared" si="12"/>
        <v>0</v>
      </c>
      <c r="G29" s="36">
        <f t="shared" si="12"/>
        <v>0</v>
      </c>
      <c r="H29" s="36">
        <f t="shared" si="12"/>
        <v>0</v>
      </c>
      <c r="I29" s="36">
        <f t="shared" si="12"/>
        <v>0</v>
      </c>
      <c r="J29" s="36">
        <f t="shared" si="12"/>
        <v>0</v>
      </c>
      <c r="K29" s="36">
        <f t="shared" si="12"/>
        <v>0</v>
      </c>
      <c r="L29" s="36">
        <f t="shared" si="12"/>
        <v>0</v>
      </c>
      <c r="M29" s="36">
        <f t="shared" si="12"/>
        <v>0</v>
      </c>
      <c r="N29" s="36">
        <f t="shared" si="12"/>
        <v>0</v>
      </c>
      <c r="O29" s="36">
        <f t="shared" si="12"/>
        <v>0</v>
      </c>
    </row>
    <row r="30" ht="12" customHeight="1" spans="1:15">
      <c r="A30" s="37"/>
      <c r="B30" s="38" t="s">
        <v>1455</v>
      </c>
      <c r="C30" s="35"/>
      <c r="D30" s="35"/>
      <c r="E30" s="35"/>
      <c r="F30" s="35"/>
      <c r="G30" s="35"/>
      <c r="H30" s="35"/>
      <c r="I30" s="35"/>
      <c r="J30" s="35"/>
      <c r="K30" s="35"/>
      <c r="L30" s="35"/>
      <c r="M30" s="35"/>
      <c r="N30" s="35"/>
      <c r="O30" s="36">
        <f>SUM(O26:O29)</f>
        <v>0</v>
      </c>
    </row>
    <row r="31" ht="12" customHeight="1" spans="1:15">
      <c r="A31" s="37"/>
      <c r="B31" s="38" t="s">
        <v>1479</v>
      </c>
      <c r="C31" s="35"/>
      <c r="D31" s="35"/>
      <c r="E31" s="35"/>
      <c r="F31" s="35"/>
      <c r="G31" s="35"/>
      <c r="H31" s="35"/>
      <c r="I31" s="35"/>
      <c r="J31" s="35"/>
      <c r="K31" s="35"/>
      <c r="L31" s="35"/>
      <c r="M31" s="35"/>
      <c r="N31" s="35"/>
      <c r="O31" s="36">
        <f>SUM(O27:O30)</f>
        <v>0</v>
      </c>
    </row>
    <row r="32" ht="12" customHeight="1" spans="1:15">
      <c r="A32" s="37"/>
      <c r="B32" s="34" t="s">
        <v>1480</v>
      </c>
      <c r="C32" s="36">
        <f t="shared" ref="C32:O32" si="13">IF(C31=0,0,C30/C31)</f>
        <v>0</v>
      </c>
      <c r="D32" s="36">
        <f t="shared" si="13"/>
        <v>0</v>
      </c>
      <c r="E32" s="36">
        <f t="shared" si="13"/>
        <v>0</v>
      </c>
      <c r="F32" s="36">
        <f t="shared" si="13"/>
        <v>0</v>
      </c>
      <c r="G32" s="36">
        <f t="shared" si="13"/>
        <v>0</v>
      </c>
      <c r="H32" s="36">
        <f t="shared" si="13"/>
        <v>0</v>
      </c>
      <c r="I32" s="36">
        <f t="shared" si="13"/>
        <v>0</v>
      </c>
      <c r="J32" s="36">
        <f t="shared" si="13"/>
        <v>0</v>
      </c>
      <c r="K32" s="36">
        <f t="shared" si="13"/>
        <v>0</v>
      </c>
      <c r="L32" s="36">
        <f t="shared" si="13"/>
        <v>0</v>
      </c>
      <c r="M32" s="36">
        <f t="shared" si="13"/>
        <v>0</v>
      </c>
      <c r="N32" s="36">
        <f t="shared" si="13"/>
        <v>0</v>
      </c>
      <c r="O32" s="36">
        <f t="shared" si="13"/>
        <v>0</v>
      </c>
    </row>
    <row r="33" ht="12" customHeight="1" spans="1:15">
      <c r="A33" s="39"/>
      <c r="B33" s="34" t="s">
        <v>1456</v>
      </c>
      <c r="C33" s="36">
        <f t="shared" ref="C33:O33" si="14">C24+C29-C30</f>
        <v>0</v>
      </c>
      <c r="D33" s="36">
        <f t="shared" si="14"/>
        <v>0</v>
      </c>
      <c r="E33" s="36">
        <f t="shared" si="14"/>
        <v>0</v>
      </c>
      <c r="F33" s="36">
        <f t="shared" si="14"/>
        <v>0</v>
      </c>
      <c r="G33" s="36">
        <f t="shared" si="14"/>
        <v>0</v>
      </c>
      <c r="H33" s="36">
        <f t="shared" si="14"/>
        <v>0</v>
      </c>
      <c r="I33" s="36">
        <f t="shared" si="14"/>
        <v>0</v>
      </c>
      <c r="J33" s="36">
        <f t="shared" si="14"/>
        <v>0</v>
      </c>
      <c r="K33" s="36">
        <f t="shared" si="14"/>
        <v>0</v>
      </c>
      <c r="L33" s="36">
        <f t="shared" si="14"/>
        <v>0</v>
      </c>
      <c r="M33" s="36">
        <f t="shared" si="14"/>
        <v>0</v>
      </c>
      <c r="N33" s="36">
        <f t="shared" si="14"/>
        <v>0</v>
      </c>
      <c r="O33" s="36">
        <f t="shared" si="14"/>
        <v>0</v>
      </c>
    </row>
    <row r="34" ht="12" customHeight="1" spans="1:15">
      <c r="A34" s="33" t="s">
        <v>1502</v>
      </c>
      <c r="B34" s="34" t="s">
        <v>1451</v>
      </c>
      <c r="C34" s="35"/>
      <c r="D34" s="36">
        <f>C43</f>
        <v>0</v>
      </c>
      <c r="E34" s="36">
        <f t="shared" ref="E34:N34" si="15">C43</f>
        <v>0</v>
      </c>
      <c r="F34" s="36">
        <f t="shared" si="15"/>
        <v>0</v>
      </c>
      <c r="G34" s="36">
        <f t="shared" si="15"/>
        <v>0</v>
      </c>
      <c r="H34" s="36">
        <f t="shared" si="15"/>
        <v>0</v>
      </c>
      <c r="I34" s="36">
        <f t="shared" si="15"/>
        <v>0</v>
      </c>
      <c r="J34" s="36">
        <f t="shared" si="15"/>
        <v>0</v>
      </c>
      <c r="K34" s="36">
        <f t="shared" si="15"/>
        <v>0</v>
      </c>
      <c r="L34" s="36">
        <f t="shared" si="15"/>
        <v>0</v>
      </c>
      <c r="M34" s="36">
        <f t="shared" si="15"/>
        <v>0</v>
      </c>
      <c r="N34" s="36">
        <f t="shared" si="15"/>
        <v>0</v>
      </c>
      <c r="O34" s="36">
        <f>C34</f>
        <v>0</v>
      </c>
    </row>
    <row r="35" ht="12" customHeight="1" spans="1:15">
      <c r="A35" s="37"/>
      <c r="B35" s="38" t="s">
        <v>1452</v>
      </c>
      <c r="C35" s="35"/>
      <c r="D35" s="35"/>
      <c r="E35" s="35"/>
      <c r="F35" s="35"/>
      <c r="G35" s="35"/>
      <c r="H35" s="35"/>
      <c r="I35" s="35"/>
      <c r="J35" s="35"/>
      <c r="K35" s="35"/>
      <c r="L35" s="35"/>
      <c r="M35" s="35"/>
      <c r="N35" s="35"/>
      <c r="O35" s="36">
        <f t="shared" ref="O35:O38" si="16">SUM(C35:N35)</f>
        <v>0</v>
      </c>
    </row>
    <row r="36" ht="12" customHeight="1" spans="1:15">
      <c r="A36" s="37"/>
      <c r="B36" s="38" t="s">
        <v>1453</v>
      </c>
      <c r="C36" s="35"/>
      <c r="D36" s="35"/>
      <c r="E36" s="35"/>
      <c r="F36" s="35"/>
      <c r="G36" s="35"/>
      <c r="H36" s="35"/>
      <c r="I36" s="35"/>
      <c r="J36" s="35"/>
      <c r="K36" s="35"/>
      <c r="L36" s="35"/>
      <c r="M36" s="35"/>
      <c r="N36" s="35"/>
      <c r="O36" s="36">
        <f t="shared" si="16"/>
        <v>0</v>
      </c>
    </row>
    <row r="37" ht="12" customHeight="1" spans="1:15">
      <c r="A37" s="37"/>
      <c r="B37" s="38" t="s">
        <v>1454</v>
      </c>
      <c r="C37" s="35"/>
      <c r="D37" s="35"/>
      <c r="E37" s="35"/>
      <c r="F37" s="35"/>
      <c r="G37" s="35"/>
      <c r="H37" s="35"/>
      <c r="I37" s="35"/>
      <c r="J37" s="35"/>
      <c r="K37" s="35"/>
      <c r="L37" s="35"/>
      <c r="M37" s="35"/>
      <c r="N37" s="35"/>
      <c r="O37" s="36">
        <f t="shared" si="16"/>
        <v>0</v>
      </c>
    </row>
    <row r="38" ht="12" customHeight="1" spans="1:15">
      <c r="A38" s="37"/>
      <c r="B38" s="38" t="s">
        <v>554</v>
      </c>
      <c r="C38" s="35"/>
      <c r="D38" s="35"/>
      <c r="E38" s="35"/>
      <c r="F38" s="35"/>
      <c r="G38" s="35"/>
      <c r="H38" s="35"/>
      <c r="I38" s="35"/>
      <c r="J38" s="35"/>
      <c r="K38" s="35"/>
      <c r="L38" s="35"/>
      <c r="M38" s="35"/>
      <c r="N38" s="35"/>
      <c r="O38" s="36">
        <f t="shared" si="16"/>
        <v>0</v>
      </c>
    </row>
    <row r="39" ht="12" customHeight="1" spans="1:15">
      <c r="A39" s="37"/>
      <c r="B39" s="34" t="s">
        <v>689</v>
      </c>
      <c r="C39" s="36">
        <f t="shared" ref="C39:O39" si="17">SUM(C35:C38)</f>
        <v>0</v>
      </c>
      <c r="D39" s="36">
        <f t="shared" si="17"/>
        <v>0</v>
      </c>
      <c r="E39" s="36">
        <f t="shared" si="17"/>
        <v>0</v>
      </c>
      <c r="F39" s="36">
        <f t="shared" si="17"/>
        <v>0</v>
      </c>
      <c r="G39" s="36">
        <f t="shared" si="17"/>
        <v>0</v>
      </c>
      <c r="H39" s="36">
        <f t="shared" si="17"/>
        <v>0</v>
      </c>
      <c r="I39" s="36">
        <f t="shared" si="17"/>
        <v>0</v>
      </c>
      <c r="J39" s="36">
        <f t="shared" si="17"/>
        <v>0</v>
      </c>
      <c r="K39" s="36">
        <f t="shared" si="17"/>
        <v>0</v>
      </c>
      <c r="L39" s="36">
        <f t="shared" si="17"/>
        <v>0</v>
      </c>
      <c r="M39" s="36">
        <f t="shared" si="17"/>
        <v>0</v>
      </c>
      <c r="N39" s="36">
        <f t="shared" si="17"/>
        <v>0</v>
      </c>
      <c r="O39" s="36">
        <f t="shared" si="17"/>
        <v>0</v>
      </c>
    </row>
    <row r="40" ht="12" customHeight="1" spans="1:15">
      <c r="A40" s="37"/>
      <c r="B40" s="38" t="s">
        <v>1455</v>
      </c>
      <c r="C40" s="35"/>
      <c r="D40" s="35"/>
      <c r="E40" s="35"/>
      <c r="F40" s="35"/>
      <c r="G40" s="35"/>
      <c r="H40" s="35"/>
      <c r="I40" s="35"/>
      <c r="J40" s="35"/>
      <c r="K40" s="35"/>
      <c r="L40" s="35"/>
      <c r="M40" s="35"/>
      <c r="N40" s="35"/>
      <c r="O40" s="36">
        <f>SUM(O36:O39)</f>
        <v>0</v>
      </c>
    </row>
    <row r="41" ht="12" customHeight="1" spans="1:15">
      <c r="A41" s="37"/>
      <c r="B41" s="38" t="s">
        <v>1479</v>
      </c>
      <c r="C41" s="35"/>
      <c r="D41" s="35"/>
      <c r="E41" s="35"/>
      <c r="F41" s="35"/>
      <c r="G41" s="35"/>
      <c r="H41" s="35"/>
      <c r="I41" s="35"/>
      <c r="J41" s="35"/>
      <c r="K41" s="35"/>
      <c r="L41" s="35"/>
      <c r="M41" s="35"/>
      <c r="N41" s="35"/>
      <c r="O41" s="36">
        <f>SUM(O37:O40)</f>
        <v>0</v>
      </c>
    </row>
    <row r="42" ht="12" customHeight="1" spans="1:15">
      <c r="A42" s="37"/>
      <c r="B42" s="34" t="s">
        <v>1480</v>
      </c>
      <c r="C42" s="36">
        <f t="shared" ref="C42:O42" si="18">IF(C41=0,0,C40/C41)</f>
        <v>0</v>
      </c>
      <c r="D42" s="36">
        <f t="shared" si="18"/>
        <v>0</v>
      </c>
      <c r="E42" s="36">
        <f t="shared" si="18"/>
        <v>0</v>
      </c>
      <c r="F42" s="36">
        <f t="shared" si="18"/>
        <v>0</v>
      </c>
      <c r="G42" s="36">
        <f t="shared" si="18"/>
        <v>0</v>
      </c>
      <c r="H42" s="36">
        <f t="shared" si="18"/>
        <v>0</v>
      </c>
      <c r="I42" s="36">
        <f t="shared" si="18"/>
        <v>0</v>
      </c>
      <c r="J42" s="36">
        <f t="shared" si="18"/>
        <v>0</v>
      </c>
      <c r="K42" s="36">
        <f t="shared" si="18"/>
        <v>0</v>
      </c>
      <c r="L42" s="36">
        <f t="shared" si="18"/>
        <v>0</v>
      </c>
      <c r="M42" s="36">
        <f t="shared" si="18"/>
        <v>0</v>
      </c>
      <c r="N42" s="36">
        <f t="shared" si="18"/>
        <v>0</v>
      </c>
      <c r="O42" s="36">
        <f t="shared" si="18"/>
        <v>0</v>
      </c>
    </row>
    <row r="43" ht="12" spans="1:15">
      <c r="A43" s="39"/>
      <c r="B43" s="34" t="s">
        <v>1456</v>
      </c>
      <c r="C43" s="36">
        <f t="shared" ref="C43:O43" si="19">C34+C39-C40</f>
        <v>0</v>
      </c>
      <c r="D43" s="36">
        <f t="shared" si="19"/>
        <v>0</v>
      </c>
      <c r="E43" s="36">
        <f t="shared" si="19"/>
        <v>0</v>
      </c>
      <c r="F43" s="36">
        <f t="shared" si="19"/>
        <v>0</v>
      </c>
      <c r="G43" s="36">
        <f t="shared" si="19"/>
        <v>0</v>
      </c>
      <c r="H43" s="36">
        <f t="shared" si="19"/>
        <v>0</v>
      </c>
      <c r="I43" s="36">
        <f t="shared" si="19"/>
        <v>0</v>
      </c>
      <c r="J43" s="36">
        <f t="shared" si="19"/>
        <v>0</v>
      </c>
      <c r="K43" s="36">
        <f t="shared" si="19"/>
        <v>0</v>
      </c>
      <c r="L43" s="36">
        <f t="shared" si="19"/>
        <v>0</v>
      </c>
      <c r="M43" s="36">
        <f t="shared" si="19"/>
        <v>0</v>
      </c>
      <c r="N43" s="36">
        <f t="shared" si="19"/>
        <v>0</v>
      </c>
      <c r="O43" s="36">
        <f t="shared" si="19"/>
        <v>0</v>
      </c>
    </row>
    <row r="44" ht="12" customHeight="1" spans="1:15">
      <c r="A44" s="33" t="s">
        <v>1503</v>
      </c>
      <c r="B44" s="34" t="s">
        <v>1451</v>
      </c>
      <c r="C44" s="35"/>
      <c r="D44" s="36">
        <f>C53</f>
        <v>0</v>
      </c>
      <c r="E44" s="36">
        <f t="shared" ref="E44:N44" si="20">C53</f>
        <v>0</v>
      </c>
      <c r="F44" s="36">
        <f t="shared" si="20"/>
        <v>0</v>
      </c>
      <c r="G44" s="36">
        <f t="shared" si="20"/>
        <v>0</v>
      </c>
      <c r="H44" s="36">
        <f t="shared" si="20"/>
        <v>0</v>
      </c>
      <c r="I44" s="36">
        <f t="shared" si="20"/>
        <v>0</v>
      </c>
      <c r="J44" s="36">
        <f t="shared" si="20"/>
        <v>0</v>
      </c>
      <c r="K44" s="36">
        <f t="shared" si="20"/>
        <v>0</v>
      </c>
      <c r="L44" s="36">
        <f t="shared" si="20"/>
        <v>0</v>
      </c>
      <c r="M44" s="36">
        <f t="shared" si="20"/>
        <v>0</v>
      </c>
      <c r="N44" s="36">
        <f t="shared" si="20"/>
        <v>0</v>
      </c>
      <c r="O44" s="36">
        <f>C44</f>
        <v>0</v>
      </c>
    </row>
    <row r="45" ht="12" customHeight="1" spans="1:15">
      <c r="A45" s="37"/>
      <c r="B45" s="38" t="s">
        <v>1452</v>
      </c>
      <c r="C45" s="35"/>
      <c r="D45" s="35"/>
      <c r="E45" s="35"/>
      <c r="F45" s="35"/>
      <c r="G45" s="35"/>
      <c r="H45" s="35"/>
      <c r="I45" s="35"/>
      <c r="J45" s="35"/>
      <c r="K45" s="35"/>
      <c r="L45" s="35"/>
      <c r="M45" s="35"/>
      <c r="N45" s="35"/>
      <c r="O45" s="36">
        <f t="shared" ref="O45:O48" si="21">SUM(C45:N45)</f>
        <v>0</v>
      </c>
    </row>
    <row r="46" ht="12" customHeight="1" spans="1:15">
      <c r="A46" s="37"/>
      <c r="B46" s="38" t="s">
        <v>1453</v>
      </c>
      <c r="C46" s="35"/>
      <c r="D46" s="35"/>
      <c r="E46" s="35"/>
      <c r="F46" s="35"/>
      <c r="G46" s="35"/>
      <c r="H46" s="35"/>
      <c r="I46" s="35"/>
      <c r="J46" s="35"/>
      <c r="K46" s="35"/>
      <c r="L46" s="35"/>
      <c r="M46" s="35"/>
      <c r="N46" s="35"/>
      <c r="O46" s="36">
        <f t="shared" si="21"/>
        <v>0</v>
      </c>
    </row>
    <row r="47" ht="12" customHeight="1" spans="1:15">
      <c r="A47" s="37"/>
      <c r="B47" s="38" t="s">
        <v>1454</v>
      </c>
      <c r="C47" s="35"/>
      <c r="D47" s="35"/>
      <c r="E47" s="35"/>
      <c r="F47" s="35"/>
      <c r="G47" s="35"/>
      <c r="H47" s="35"/>
      <c r="I47" s="35"/>
      <c r="J47" s="35"/>
      <c r="K47" s="35"/>
      <c r="L47" s="35"/>
      <c r="M47" s="35"/>
      <c r="N47" s="35"/>
      <c r="O47" s="36">
        <f t="shared" si="21"/>
        <v>0</v>
      </c>
    </row>
    <row r="48" ht="12" customHeight="1" spans="1:15">
      <c r="A48" s="37"/>
      <c r="B48" s="38" t="s">
        <v>554</v>
      </c>
      <c r="C48" s="35"/>
      <c r="D48" s="35"/>
      <c r="E48" s="35"/>
      <c r="F48" s="35"/>
      <c r="G48" s="35"/>
      <c r="H48" s="35"/>
      <c r="I48" s="35"/>
      <c r="J48" s="35"/>
      <c r="K48" s="35"/>
      <c r="L48" s="35"/>
      <c r="M48" s="35"/>
      <c r="N48" s="35"/>
      <c r="O48" s="36">
        <f t="shared" si="21"/>
        <v>0</v>
      </c>
    </row>
    <row r="49" ht="12" customHeight="1" spans="1:15">
      <c r="A49" s="37"/>
      <c r="B49" s="34" t="s">
        <v>689</v>
      </c>
      <c r="C49" s="36">
        <f t="shared" ref="C49:O49" si="22">SUM(C45:C48)</f>
        <v>0</v>
      </c>
      <c r="D49" s="36">
        <f t="shared" si="22"/>
        <v>0</v>
      </c>
      <c r="E49" s="36">
        <f t="shared" si="22"/>
        <v>0</v>
      </c>
      <c r="F49" s="36">
        <f t="shared" si="22"/>
        <v>0</v>
      </c>
      <c r="G49" s="36">
        <f t="shared" si="22"/>
        <v>0</v>
      </c>
      <c r="H49" s="36">
        <f t="shared" si="22"/>
        <v>0</v>
      </c>
      <c r="I49" s="36">
        <f t="shared" si="22"/>
        <v>0</v>
      </c>
      <c r="J49" s="36">
        <f t="shared" si="22"/>
        <v>0</v>
      </c>
      <c r="K49" s="36">
        <f t="shared" si="22"/>
        <v>0</v>
      </c>
      <c r="L49" s="36">
        <f t="shared" si="22"/>
        <v>0</v>
      </c>
      <c r="M49" s="36">
        <f t="shared" si="22"/>
        <v>0</v>
      </c>
      <c r="N49" s="36">
        <f t="shared" si="22"/>
        <v>0</v>
      </c>
      <c r="O49" s="36">
        <f t="shared" si="22"/>
        <v>0</v>
      </c>
    </row>
    <row r="50" ht="12" customHeight="1" spans="1:15">
      <c r="A50" s="37"/>
      <c r="B50" s="38" t="s">
        <v>1455</v>
      </c>
      <c r="C50" s="35"/>
      <c r="D50" s="35"/>
      <c r="E50" s="35"/>
      <c r="F50" s="35"/>
      <c r="G50" s="35"/>
      <c r="H50" s="35"/>
      <c r="I50" s="35"/>
      <c r="J50" s="35"/>
      <c r="K50" s="35"/>
      <c r="L50" s="35"/>
      <c r="M50" s="35"/>
      <c r="N50" s="35"/>
      <c r="O50" s="36">
        <f>SUM(O46:O49)</f>
        <v>0</v>
      </c>
    </row>
    <row r="51" ht="12" customHeight="1" spans="1:15">
      <c r="A51" s="37"/>
      <c r="B51" s="38" t="s">
        <v>1479</v>
      </c>
      <c r="C51" s="35"/>
      <c r="D51" s="35"/>
      <c r="E51" s="35"/>
      <c r="F51" s="35"/>
      <c r="G51" s="35"/>
      <c r="H51" s="35"/>
      <c r="I51" s="35"/>
      <c r="J51" s="35"/>
      <c r="K51" s="35"/>
      <c r="L51" s="35"/>
      <c r="M51" s="35"/>
      <c r="N51" s="35"/>
      <c r="O51" s="36">
        <f>SUM(O47:O50)</f>
        <v>0</v>
      </c>
    </row>
    <row r="52" ht="12" customHeight="1" spans="1:15">
      <c r="A52" s="37"/>
      <c r="B52" s="34" t="s">
        <v>1480</v>
      </c>
      <c r="C52" s="36">
        <f t="shared" ref="C52:O52" si="23">IF(C51=0,0,C50/C51)</f>
        <v>0</v>
      </c>
      <c r="D52" s="36">
        <f t="shared" si="23"/>
        <v>0</v>
      </c>
      <c r="E52" s="36">
        <f t="shared" si="23"/>
        <v>0</v>
      </c>
      <c r="F52" s="36">
        <f t="shared" si="23"/>
        <v>0</v>
      </c>
      <c r="G52" s="36">
        <f t="shared" si="23"/>
        <v>0</v>
      </c>
      <c r="H52" s="36">
        <f t="shared" si="23"/>
        <v>0</v>
      </c>
      <c r="I52" s="36">
        <f t="shared" si="23"/>
        <v>0</v>
      </c>
      <c r="J52" s="36">
        <f t="shared" si="23"/>
        <v>0</v>
      </c>
      <c r="K52" s="36">
        <f t="shared" si="23"/>
        <v>0</v>
      </c>
      <c r="L52" s="36">
        <f t="shared" si="23"/>
        <v>0</v>
      </c>
      <c r="M52" s="36">
        <f t="shared" si="23"/>
        <v>0</v>
      </c>
      <c r="N52" s="36">
        <f t="shared" si="23"/>
        <v>0</v>
      </c>
      <c r="O52" s="36">
        <f t="shared" si="23"/>
        <v>0</v>
      </c>
    </row>
    <row r="53" ht="12" customHeight="1" spans="1:15">
      <c r="A53" s="39"/>
      <c r="B53" s="34" t="s">
        <v>1456</v>
      </c>
      <c r="C53" s="36">
        <f t="shared" ref="C53:O53" si="24">C44+C49-C50</f>
        <v>0</v>
      </c>
      <c r="D53" s="36">
        <f t="shared" si="24"/>
        <v>0</v>
      </c>
      <c r="E53" s="36">
        <f t="shared" si="24"/>
        <v>0</v>
      </c>
      <c r="F53" s="36">
        <f t="shared" si="24"/>
        <v>0</v>
      </c>
      <c r="G53" s="36">
        <f t="shared" si="24"/>
        <v>0</v>
      </c>
      <c r="H53" s="36">
        <f t="shared" si="24"/>
        <v>0</v>
      </c>
      <c r="I53" s="36">
        <f t="shared" si="24"/>
        <v>0</v>
      </c>
      <c r="J53" s="36">
        <f t="shared" si="24"/>
        <v>0</v>
      </c>
      <c r="K53" s="36">
        <f t="shared" si="24"/>
        <v>0</v>
      </c>
      <c r="L53" s="36">
        <f t="shared" si="24"/>
        <v>0</v>
      </c>
      <c r="M53" s="36">
        <f t="shared" si="24"/>
        <v>0</v>
      </c>
      <c r="N53" s="36">
        <f t="shared" si="24"/>
        <v>0</v>
      </c>
      <c r="O53" s="36">
        <f t="shared" si="24"/>
        <v>0</v>
      </c>
    </row>
    <row r="54" ht="12" customHeight="1" spans="1:15">
      <c r="A54" s="33" t="s">
        <v>1504</v>
      </c>
      <c r="B54" s="34" t="s">
        <v>1451</v>
      </c>
      <c r="C54" s="35"/>
      <c r="D54" s="36">
        <f>C63</f>
        <v>0</v>
      </c>
      <c r="E54" s="36">
        <f t="shared" ref="E54:N54" si="25">C63</f>
        <v>0</v>
      </c>
      <c r="F54" s="36">
        <f t="shared" si="25"/>
        <v>0</v>
      </c>
      <c r="G54" s="36">
        <f t="shared" si="25"/>
        <v>0</v>
      </c>
      <c r="H54" s="36">
        <f t="shared" si="25"/>
        <v>0</v>
      </c>
      <c r="I54" s="36">
        <f t="shared" si="25"/>
        <v>0</v>
      </c>
      <c r="J54" s="36">
        <f t="shared" si="25"/>
        <v>0</v>
      </c>
      <c r="K54" s="36">
        <f t="shared" si="25"/>
        <v>0</v>
      </c>
      <c r="L54" s="36">
        <f t="shared" si="25"/>
        <v>0</v>
      </c>
      <c r="M54" s="36">
        <f t="shared" si="25"/>
        <v>0</v>
      </c>
      <c r="N54" s="36">
        <f t="shared" si="25"/>
        <v>0</v>
      </c>
      <c r="O54" s="36">
        <f>C54</f>
        <v>0</v>
      </c>
    </row>
    <row r="55" ht="12" customHeight="1" spans="1:15">
      <c r="A55" s="37"/>
      <c r="B55" s="38" t="s">
        <v>1452</v>
      </c>
      <c r="C55" s="35"/>
      <c r="D55" s="35"/>
      <c r="E55" s="35"/>
      <c r="F55" s="35"/>
      <c r="G55" s="35"/>
      <c r="H55" s="35"/>
      <c r="I55" s="35"/>
      <c r="J55" s="35"/>
      <c r="K55" s="35"/>
      <c r="L55" s="35"/>
      <c r="M55" s="35"/>
      <c r="N55" s="35"/>
      <c r="O55" s="36">
        <f t="shared" ref="O55:O58" si="26">SUM(C55:N55)</f>
        <v>0</v>
      </c>
    </row>
    <row r="56" ht="12" customHeight="1" spans="1:15">
      <c r="A56" s="37"/>
      <c r="B56" s="38" t="s">
        <v>1453</v>
      </c>
      <c r="C56" s="35"/>
      <c r="D56" s="35"/>
      <c r="E56" s="35"/>
      <c r="F56" s="35"/>
      <c r="G56" s="35"/>
      <c r="H56" s="35"/>
      <c r="I56" s="35"/>
      <c r="J56" s="35"/>
      <c r="K56" s="35"/>
      <c r="L56" s="35"/>
      <c r="M56" s="35"/>
      <c r="N56" s="35"/>
      <c r="O56" s="36">
        <f t="shared" si="26"/>
        <v>0</v>
      </c>
    </row>
    <row r="57" ht="12" customHeight="1" spans="1:15">
      <c r="A57" s="37"/>
      <c r="B57" s="38" t="s">
        <v>1454</v>
      </c>
      <c r="C57" s="35"/>
      <c r="D57" s="35"/>
      <c r="E57" s="35"/>
      <c r="F57" s="35"/>
      <c r="G57" s="35"/>
      <c r="H57" s="35"/>
      <c r="I57" s="35"/>
      <c r="J57" s="35"/>
      <c r="K57" s="35"/>
      <c r="L57" s="35"/>
      <c r="M57" s="35"/>
      <c r="N57" s="35"/>
      <c r="O57" s="36">
        <f t="shared" si="26"/>
        <v>0</v>
      </c>
    </row>
    <row r="58" ht="12" customHeight="1" spans="1:15">
      <c r="A58" s="37"/>
      <c r="B58" s="38" t="s">
        <v>554</v>
      </c>
      <c r="C58" s="35"/>
      <c r="D58" s="35"/>
      <c r="E58" s="35"/>
      <c r="F58" s="35"/>
      <c r="G58" s="35"/>
      <c r="H58" s="35"/>
      <c r="I58" s="35"/>
      <c r="J58" s="35"/>
      <c r="K58" s="35"/>
      <c r="L58" s="35"/>
      <c r="M58" s="35"/>
      <c r="N58" s="35"/>
      <c r="O58" s="36">
        <f t="shared" si="26"/>
        <v>0</v>
      </c>
    </row>
    <row r="59" ht="12" customHeight="1" spans="1:15">
      <c r="A59" s="37"/>
      <c r="B59" s="34" t="s">
        <v>689</v>
      </c>
      <c r="C59" s="36">
        <f t="shared" ref="C59:O59" si="27">SUM(C55:C58)</f>
        <v>0</v>
      </c>
      <c r="D59" s="36">
        <f t="shared" si="27"/>
        <v>0</v>
      </c>
      <c r="E59" s="36">
        <f t="shared" si="27"/>
        <v>0</v>
      </c>
      <c r="F59" s="36">
        <f t="shared" si="27"/>
        <v>0</v>
      </c>
      <c r="G59" s="36">
        <f t="shared" si="27"/>
        <v>0</v>
      </c>
      <c r="H59" s="36">
        <f t="shared" si="27"/>
        <v>0</v>
      </c>
      <c r="I59" s="36">
        <f t="shared" si="27"/>
        <v>0</v>
      </c>
      <c r="J59" s="36">
        <f t="shared" si="27"/>
        <v>0</v>
      </c>
      <c r="K59" s="36">
        <f t="shared" si="27"/>
        <v>0</v>
      </c>
      <c r="L59" s="36">
        <f t="shared" si="27"/>
        <v>0</v>
      </c>
      <c r="M59" s="36">
        <f t="shared" si="27"/>
        <v>0</v>
      </c>
      <c r="N59" s="36">
        <f t="shared" si="27"/>
        <v>0</v>
      </c>
      <c r="O59" s="36">
        <f t="shared" si="27"/>
        <v>0</v>
      </c>
    </row>
    <row r="60" ht="12" customHeight="1" spans="1:15">
      <c r="A60" s="37"/>
      <c r="B60" s="38" t="s">
        <v>1455</v>
      </c>
      <c r="C60" s="35"/>
      <c r="D60" s="35"/>
      <c r="E60" s="35"/>
      <c r="F60" s="35"/>
      <c r="G60" s="35"/>
      <c r="H60" s="35"/>
      <c r="I60" s="35"/>
      <c r="J60" s="35"/>
      <c r="K60" s="35"/>
      <c r="L60" s="35"/>
      <c r="M60" s="35"/>
      <c r="N60" s="35"/>
      <c r="O60" s="36">
        <f>SUM(O56:O59)</f>
        <v>0</v>
      </c>
    </row>
    <row r="61" ht="12" customHeight="1" spans="1:15">
      <c r="A61" s="37"/>
      <c r="B61" s="38" t="s">
        <v>1479</v>
      </c>
      <c r="C61" s="35"/>
      <c r="D61" s="35"/>
      <c r="E61" s="35"/>
      <c r="F61" s="35"/>
      <c r="G61" s="35"/>
      <c r="H61" s="35"/>
      <c r="I61" s="35"/>
      <c r="J61" s="35"/>
      <c r="K61" s="35"/>
      <c r="L61" s="35"/>
      <c r="M61" s="35"/>
      <c r="N61" s="35"/>
      <c r="O61" s="36">
        <f>SUM(O57:O60)</f>
        <v>0</v>
      </c>
    </row>
    <row r="62" ht="12" customHeight="1" spans="1:15">
      <c r="A62" s="37"/>
      <c r="B62" s="34" t="s">
        <v>1480</v>
      </c>
      <c r="C62" s="36">
        <f t="shared" ref="C62:O62" si="28">IF(C61=0,0,C60/C61)</f>
        <v>0</v>
      </c>
      <c r="D62" s="36">
        <f t="shared" si="28"/>
        <v>0</v>
      </c>
      <c r="E62" s="36">
        <f t="shared" si="28"/>
        <v>0</v>
      </c>
      <c r="F62" s="36">
        <f t="shared" si="28"/>
        <v>0</v>
      </c>
      <c r="G62" s="36">
        <f t="shared" si="28"/>
        <v>0</v>
      </c>
      <c r="H62" s="36">
        <f t="shared" si="28"/>
        <v>0</v>
      </c>
      <c r="I62" s="36">
        <f t="shared" si="28"/>
        <v>0</v>
      </c>
      <c r="J62" s="36">
        <f t="shared" si="28"/>
        <v>0</v>
      </c>
      <c r="K62" s="36">
        <f t="shared" si="28"/>
        <v>0</v>
      </c>
      <c r="L62" s="36">
        <f t="shared" si="28"/>
        <v>0</v>
      </c>
      <c r="M62" s="36">
        <f t="shared" si="28"/>
        <v>0</v>
      </c>
      <c r="N62" s="36">
        <f t="shared" si="28"/>
        <v>0</v>
      </c>
      <c r="O62" s="36">
        <f t="shared" si="28"/>
        <v>0</v>
      </c>
    </row>
    <row r="63" ht="12" customHeight="1" spans="1:15">
      <c r="A63" s="39"/>
      <c r="B63" s="34" t="s">
        <v>1456</v>
      </c>
      <c r="C63" s="36">
        <f t="shared" ref="C63:O63" si="29">C54+C59-C60</f>
        <v>0</v>
      </c>
      <c r="D63" s="36">
        <f t="shared" si="29"/>
        <v>0</v>
      </c>
      <c r="E63" s="36">
        <f t="shared" si="29"/>
        <v>0</v>
      </c>
      <c r="F63" s="36">
        <f t="shared" si="29"/>
        <v>0</v>
      </c>
      <c r="G63" s="36">
        <f t="shared" si="29"/>
        <v>0</v>
      </c>
      <c r="H63" s="36">
        <f t="shared" si="29"/>
        <v>0</v>
      </c>
      <c r="I63" s="36">
        <f t="shared" si="29"/>
        <v>0</v>
      </c>
      <c r="J63" s="36">
        <f t="shared" si="29"/>
        <v>0</v>
      </c>
      <c r="K63" s="36">
        <f t="shared" si="29"/>
        <v>0</v>
      </c>
      <c r="L63" s="36">
        <f t="shared" si="29"/>
        <v>0</v>
      </c>
      <c r="M63" s="36">
        <f t="shared" si="29"/>
        <v>0</v>
      </c>
      <c r="N63" s="36">
        <f t="shared" si="29"/>
        <v>0</v>
      </c>
      <c r="O63" s="36">
        <f t="shared" si="29"/>
        <v>0</v>
      </c>
    </row>
    <row r="64" ht="12" customHeight="1" spans="1:15">
      <c r="A64" s="33" t="s">
        <v>1505</v>
      </c>
      <c r="B64" s="34" t="s">
        <v>1451</v>
      </c>
      <c r="C64" s="35"/>
      <c r="D64" s="36">
        <f>C73</f>
        <v>0</v>
      </c>
      <c r="E64" s="36">
        <f t="shared" ref="E64:N64" si="30">C73</f>
        <v>0</v>
      </c>
      <c r="F64" s="36">
        <f t="shared" si="30"/>
        <v>0</v>
      </c>
      <c r="G64" s="36">
        <f t="shared" si="30"/>
        <v>0</v>
      </c>
      <c r="H64" s="36">
        <f t="shared" si="30"/>
        <v>0</v>
      </c>
      <c r="I64" s="36">
        <f t="shared" si="30"/>
        <v>0</v>
      </c>
      <c r="J64" s="36">
        <f t="shared" si="30"/>
        <v>0</v>
      </c>
      <c r="K64" s="36">
        <f t="shared" si="30"/>
        <v>0</v>
      </c>
      <c r="L64" s="36">
        <f t="shared" si="30"/>
        <v>0</v>
      </c>
      <c r="M64" s="36">
        <f t="shared" si="30"/>
        <v>0</v>
      </c>
      <c r="N64" s="36">
        <f t="shared" si="30"/>
        <v>0</v>
      </c>
      <c r="O64" s="36">
        <f>C64</f>
        <v>0</v>
      </c>
    </row>
    <row r="65" ht="12" customHeight="1" spans="1:15">
      <c r="A65" s="37"/>
      <c r="B65" s="38" t="s">
        <v>1452</v>
      </c>
      <c r="C65" s="35"/>
      <c r="D65" s="35"/>
      <c r="E65" s="35"/>
      <c r="F65" s="35"/>
      <c r="G65" s="35"/>
      <c r="H65" s="35"/>
      <c r="I65" s="35"/>
      <c r="J65" s="35"/>
      <c r="K65" s="35"/>
      <c r="L65" s="35"/>
      <c r="M65" s="35"/>
      <c r="N65" s="35"/>
      <c r="O65" s="36">
        <f t="shared" ref="O65:O68" si="31">SUM(C65:N65)</f>
        <v>0</v>
      </c>
    </row>
    <row r="66" ht="12" customHeight="1" spans="1:15">
      <c r="A66" s="37"/>
      <c r="B66" s="38" t="s">
        <v>1453</v>
      </c>
      <c r="C66" s="35"/>
      <c r="D66" s="35"/>
      <c r="E66" s="35"/>
      <c r="F66" s="35"/>
      <c r="G66" s="35"/>
      <c r="H66" s="35"/>
      <c r="I66" s="35"/>
      <c r="J66" s="35"/>
      <c r="K66" s="35"/>
      <c r="L66" s="35"/>
      <c r="M66" s="35"/>
      <c r="N66" s="35"/>
      <c r="O66" s="36">
        <f t="shared" si="31"/>
        <v>0</v>
      </c>
    </row>
    <row r="67" ht="12" customHeight="1" spans="1:15">
      <c r="A67" s="37"/>
      <c r="B67" s="38" t="s">
        <v>1454</v>
      </c>
      <c r="C67" s="35"/>
      <c r="D67" s="35"/>
      <c r="E67" s="35"/>
      <c r="F67" s="35"/>
      <c r="G67" s="35"/>
      <c r="H67" s="35"/>
      <c r="I67" s="35"/>
      <c r="J67" s="35"/>
      <c r="K67" s="35"/>
      <c r="L67" s="35"/>
      <c r="M67" s="35"/>
      <c r="N67" s="35"/>
      <c r="O67" s="36">
        <f t="shared" si="31"/>
        <v>0</v>
      </c>
    </row>
    <row r="68" ht="12" customHeight="1" spans="1:15">
      <c r="A68" s="37"/>
      <c r="B68" s="38" t="s">
        <v>554</v>
      </c>
      <c r="C68" s="35"/>
      <c r="D68" s="35"/>
      <c r="E68" s="35"/>
      <c r="F68" s="35"/>
      <c r="G68" s="35"/>
      <c r="H68" s="35"/>
      <c r="I68" s="35"/>
      <c r="J68" s="35"/>
      <c r="K68" s="35"/>
      <c r="L68" s="35"/>
      <c r="M68" s="35"/>
      <c r="N68" s="35"/>
      <c r="O68" s="36">
        <f t="shared" si="31"/>
        <v>0</v>
      </c>
    </row>
    <row r="69" ht="12" customHeight="1" spans="1:15">
      <c r="A69" s="37"/>
      <c r="B69" s="34" t="s">
        <v>689</v>
      </c>
      <c r="C69" s="36">
        <f t="shared" ref="C69:O69" si="32">SUM(C65:C68)</f>
        <v>0</v>
      </c>
      <c r="D69" s="36">
        <f t="shared" si="32"/>
        <v>0</v>
      </c>
      <c r="E69" s="36">
        <f t="shared" si="32"/>
        <v>0</v>
      </c>
      <c r="F69" s="36">
        <f t="shared" si="32"/>
        <v>0</v>
      </c>
      <c r="G69" s="36">
        <f t="shared" si="32"/>
        <v>0</v>
      </c>
      <c r="H69" s="36">
        <f t="shared" si="32"/>
        <v>0</v>
      </c>
      <c r="I69" s="36">
        <f t="shared" si="32"/>
        <v>0</v>
      </c>
      <c r="J69" s="36">
        <f t="shared" si="32"/>
        <v>0</v>
      </c>
      <c r="K69" s="36">
        <f t="shared" si="32"/>
        <v>0</v>
      </c>
      <c r="L69" s="36">
        <f t="shared" si="32"/>
        <v>0</v>
      </c>
      <c r="M69" s="36">
        <f t="shared" si="32"/>
        <v>0</v>
      </c>
      <c r="N69" s="36">
        <f t="shared" si="32"/>
        <v>0</v>
      </c>
      <c r="O69" s="36">
        <f t="shared" si="32"/>
        <v>0</v>
      </c>
    </row>
    <row r="70" ht="12" customHeight="1" spans="1:15">
      <c r="A70" s="37"/>
      <c r="B70" s="38" t="s">
        <v>1455</v>
      </c>
      <c r="C70" s="35"/>
      <c r="D70" s="35"/>
      <c r="E70" s="35"/>
      <c r="F70" s="35"/>
      <c r="G70" s="35"/>
      <c r="H70" s="35"/>
      <c r="I70" s="35"/>
      <c r="J70" s="35"/>
      <c r="K70" s="35"/>
      <c r="L70" s="35"/>
      <c r="M70" s="35"/>
      <c r="N70" s="35"/>
      <c r="O70" s="36">
        <f>SUM(O66:O69)</f>
        <v>0</v>
      </c>
    </row>
    <row r="71" ht="12" customHeight="1" spans="1:15">
      <c r="A71" s="37"/>
      <c r="B71" s="38" t="s">
        <v>1479</v>
      </c>
      <c r="C71" s="35"/>
      <c r="D71" s="35"/>
      <c r="E71" s="35"/>
      <c r="F71" s="35"/>
      <c r="G71" s="35"/>
      <c r="H71" s="35"/>
      <c r="I71" s="35"/>
      <c r="J71" s="35"/>
      <c r="K71" s="35"/>
      <c r="L71" s="35"/>
      <c r="M71" s="35"/>
      <c r="N71" s="35"/>
      <c r="O71" s="36">
        <f>SUM(O67:O70)</f>
        <v>0</v>
      </c>
    </row>
    <row r="72" ht="12" customHeight="1" spans="1:15">
      <c r="A72" s="37"/>
      <c r="B72" s="34" t="s">
        <v>1480</v>
      </c>
      <c r="C72" s="36">
        <f t="shared" ref="C72:O72" si="33">IF(C71=0,0,C70/C71)</f>
        <v>0</v>
      </c>
      <c r="D72" s="36">
        <f t="shared" si="33"/>
        <v>0</v>
      </c>
      <c r="E72" s="36">
        <f t="shared" si="33"/>
        <v>0</v>
      </c>
      <c r="F72" s="36">
        <f t="shared" si="33"/>
        <v>0</v>
      </c>
      <c r="G72" s="36">
        <f t="shared" si="33"/>
        <v>0</v>
      </c>
      <c r="H72" s="36">
        <f t="shared" si="33"/>
        <v>0</v>
      </c>
      <c r="I72" s="36">
        <f t="shared" si="33"/>
        <v>0</v>
      </c>
      <c r="J72" s="36">
        <f t="shared" si="33"/>
        <v>0</v>
      </c>
      <c r="K72" s="36">
        <f t="shared" si="33"/>
        <v>0</v>
      </c>
      <c r="L72" s="36">
        <f t="shared" si="33"/>
        <v>0</v>
      </c>
      <c r="M72" s="36">
        <f t="shared" si="33"/>
        <v>0</v>
      </c>
      <c r="N72" s="36">
        <f t="shared" si="33"/>
        <v>0</v>
      </c>
      <c r="O72" s="36">
        <f t="shared" si="33"/>
        <v>0</v>
      </c>
    </row>
    <row r="73" ht="12" customHeight="1" spans="1:15">
      <c r="A73" s="39"/>
      <c r="B73" s="34" t="s">
        <v>1456</v>
      </c>
      <c r="C73" s="36">
        <f t="shared" ref="C73:O73" si="34">C64+C69-C70</f>
        <v>0</v>
      </c>
      <c r="D73" s="36">
        <f t="shared" si="34"/>
        <v>0</v>
      </c>
      <c r="E73" s="36">
        <f t="shared" si="34"/>
        <v>0</v>
      </c>
      <c r="F73" s="36">
        <f t="shared" si="34"/>
        <v>0</v>
      </c>
      <c r="G73" s="36">
        <f t="shared" si="34"/>
        <v>0</v>
      </c>
      <c r="H73" s="36">
        <f t="shared" si="34"/>
        <v>0</v>
      </c>
      <c r="I73" s="36">
        <f t="shared" si="34"/>
        <v>0</v>
      </c>
      <c r="J73" s="36">
        <f t="shared" si="34"/>
        <v>0</v>
      </c>
      <c r="K73" s="36">
        <f t="shared" si="34"/>
        <v>0</v>
      </c>
      <c r="L73" s="36">
        <f t="shared" si="34"/>
        <v>0</v>
      </c>
      <c r="M73" s="36">
        <f t="shared" si="34"/>
        <v>0</v>
      </c>
      <c r="N73" s="36">
        <f t="shared" si="34"/>
        <v>0</v>
      </c>
      <c r="O73" s="36">
        <f t="shared" si="34"/>
        <v>0</v>
      </c>
    </row>
    <row r="74" ht="12" customHeight="1" spans="1:15">
      <c r="A74" s="33" t="s">
        <v>1506</v>
      </c>
      <c r="B74" s="34" t="s">
        <v>1451</v>
      </c>
      <c r="C74" s="35"/>
      <c r="D74" s="36">
        <f>C83</f>
        <v>0</v>
      </c>
      <c r="E74" s="36">
        <f t="shared" ref="E74:N74" si="35">C83</f>
        <v>0</v>
      </c>
      <c r="F74" s="36">
        <f t="shared" si="35"/>
        <v>0</v>
      </c>
      <c r="G74" s="36">
        <f t="shared" si="35"/>
        <v>0</v>
      </c>
      <c r="H74" s="36">
        <f t="shared" si="35"/>
        <v>0</v>
      </c>
      <c r="I74" s="36">
        <f t="shared" si="35"/>
        <v>0</v>
      </c>
      <c r="J74" s="36">
        <f t="shared" si="35"/>
        <v>0</v>
      </c>
      <c r="K74" s="36">
        <f t="shared" si="35"/>
        <v>0</v>
      </c>
      <c r="L74" s="36">
        <f t="shared" si="35"/>
        <v>0</v>
      </c>
      <c r="M74" s="36">
        <f t="shared" si="35"/>
        <v>0</v>
      </c>
      <c r="N74" s="36">
        <f t="shared" si="35"/>
        <v>0</v>
      </c>
      <c r="O74" s="36">
        <f>C74</f>
        <v>0</v>
      </c>
    </row>
    <row r="75" ht="12" customHeight="1" spans="1:15">
      <c r="A75" s="37"/>
      <c r="B75" s="38" t="s">
        <v>1452</v>
      </c>
      <c r="C75" s="35"/>
      <c r="D75" s="35"/>
      <c r="E75" s="35"/>
      <c r="F75" s="35"/>
      <c r="G75" s="35"/>
      <c r="H75" s="35"/>
      <c r="I75" s="35"/>
      <c r="J75" s="35"/>
      <c r="K75" s="35"/>
      <c r="L75" s="35"/>
      <c r="M75" s="35"/>
      <c r="N75" s="35"/>
      <c r="O75" s="36">
        <f t="shared" ref="O75:O78" si="36">SUM(C75:N75)</f>
        <v>0</v>
      </c>
    </row>
    <row r="76" ht="12" customHeight="1" spans="1:15">
      <c r="A76" s="37"/>
      <c r="B76" s="38" t="s">
        <v>1453</v>
      </c>
      <c r="C76" s="35"/>
      <c r="D76" s="35"/>
      <c r="E76" s="35"/>
      <c r="F76" s="35"/>
      <c r="G76" s="35"/>
      <c r="H76" s="35"/>
      <c r="I76" s="35"/>
      <c r="J76" s="35"/>
      <c r="K76" s="35"/>
      <c r="L76" s="35"/>
      <c r="M76" s="35"/>
      <c r="N76" s="35"/>
      <c r="O76" s="36">
        <f t="shared" si="36"/>
        <v>0</v>
      </c>
    </row>
    <row r="77" ht="12" customHeight="1" spans="1:15">
      <c r="A77" s="37"/>
      <c r="B77" s="38" t="s">
        <v>1454</v>
      </c>
      <c r="C77" s="35"/>
      <c r="D77" s="35"/>
      <c r="E77" s="35"/>
      <c r="F77" s="35"/>
      <c r="G77" s="35"/>
      <c r="H77" s="35"/>
      <c r="I77" s="35"/>
      <c r="J77" s="35"/>
      <c r="K77" s="35"/>
      <c r="L77" s="35"/>
      <c r="M77" s="35"/>
      <c r="N77" s="35"/>
      <c r="O77" s="36">
        <f t="shared" si="36"/>
        <v>0</v>
      </c>
    </row>
    <row r="78" ht="12" customHeight="1" spans="1:15">
      <c r="A78" s="37"/>
      <c r="B78" s="38" t="s">
        <v>554</v>
      </c>
      <c r="C78" s="35"/>
      <c r="D78" s="35"/>
      <c r="E78" s="35"/>
      <c r="F78" s="35"/>
      <c r="G78" s="35"/>
      <c r="H78" s="35"/>
      <c r="I78" s="35"/>
      <c r="J78" s="35"/>
      <c r="K78" s="35"/>
      <c r="L78" s="35"/>
      <c r="M78" s="35"/>
      <c r="N78" s="35"/>
      <c r="O78" s="36">
        <f t="shared" si="36"/>
        <v>0</v>
      </c>
    </row>
    <row r="79" ht="12" customHeight="1" spans="1:15">
      <c r="A79" s="37"/>
      <c r="B79" s="34" t="s">
        <v>689</v>
      </c>
      <c r="C79" s="36">
        <f t="shared" ref="C79:O79" si="37">SUM(C75:C78)</f>
        <v>0</v>
      </c>
      <c r="D79" s="36">
        <f t="shared" si="37"/>
        <v>0</v>
      </c>
      <c r="E79" s="36">
        <f t="shared" si="37"/>
        <v>0</v>
      </c>
      <c r="F79" s="36">
        <f t="shared" si="37"/>
        <v>0</v>
      </c>
      <c r="G79" s="36">
        <f t="shared" si="37"/>
        <v>0</v>
      </c>
      <c r="H79" s="36">
        <f t="shared" si="37"/>
        <v>0</v>
      </c>
      <c r="I79" s="36">
        <f t="shared" si="37"/>
        <v>0</v>
      </c>
      <c r="J79" s="36">
        <f t="shared" si="37"/>
        <v>0</v>
      </c>
      <c r="K79" s="36">
        <f t="shared" si="37"/>
        <v>0</v>
      </c>
      <c r="L79" s="36">
        <f t="shared" si="37"/>
        <v>0</v>
      </c>
      <c r="M79" s="36">
        <f t="shared" si="37"/>
        <v>0</v>
      </c>
      <c r="N79" s="36">
        <f t="shared" si="37"/>
        <v>0</v>
      </c>
      <c r="O79" s="36">
        <f t="shared" si="37"/>
        <v>0</v>
      </c>
    </row>
    <row r="80" ht="12" customHeight="1" spans="1:15">
      <c r="A80" s="37"/>
      <c r="B80" s="38" t="s">
        <v>1455</v>
      </c>
      <c r="C80" s="35"/>
      <c r="D80" s="35"/>
      <c r="E80" s="35"/>
      <c r="F80" s="35"/>
      <c r="G80" s="35"/>
      <c r="H80" s="35"/>
      <c r="I80" s="35"/>
      <c r="J80" s="35"/>
      <c r="K80" s="35"/>
      <c r="L80" s="35"/>
      <c r="M80" s="35"/>
      <c r="N80" s="35"/>
      <c r="O80" s="36">
        <f>SUM(O76:O79)</f>
        <v>0</v>
      </c>
    </row>
    <row r="81" ht="12" customHeight="1" spans="1:15">
      <c r="A81" s="37"/>
      <c r="B81" s="38" t="s">
        <v>1479</v>
      </c>
      <c r="C81" s="35"/>
      <c r="D81" s="35"/>
      <c r="E81" s="35"/>
      <c r="F81" s="35"/>
      <c r="G81" s="35"/>
      <c r="H81" s="35"/>
      <c r="I81" s="35"/>
      <c r="J81" s="35"/>
      <c r="K81" s="35"/>
      <c r="L81" s="35"/>
      <c r="M81" s="35"/>
      <c r="N81" s="35"/>
      <c r="O81" s="36">
        <f>SUM(O77:O80)</f>
        <v>0</v>
      </c>
    </row>
    <row r="82" ht="12" customHeight="1" spans="1:15">
      <c r="A82" s="37"/>
      <c r="B82" s="34" t="s">
        <v>1480</v>
      </c>
      <c r="C82" s="36">
        <f t="shared" ref="C82:O82" si="38">IF(C81=0,0,C80/C81)</f>
        <v>0</v>
      </c>
      <c r="D82" s="36">
        <f t="shared" si="38"/>
        <v>0</v>
      </c>
      <c r="E82" s="36">
        <f t="shared" si="38"/>
        <v>0</v>
      </c>
      <c r="F82" s="36">
        <f t="shared" si="38"/>
        <v>0</v>
      </c>
      <c r="G82" s="36">
        <f t="shared" si="38"/>
        <v>0</v>
      </c>
      <c r="H82" s="36">
        <f t="shared" si="38"/>
        <v>0</v>
      </c>
      <c r="I82" s="36">
        <f t="shared" si="38"/>
        <v>0</v>
      </c>
      <c r="J82" s="36">
        <f t="shared" si="38"/>
        <v>0</v>
      </c>
      <c r="K82" s="36">
        <f t="shared" si="38"/>
        <v>0</v>
      </c>
      <c r="L82" s="36">
        <f t="shared" si="38"/>
        <v>0</v>
      </c>
      <c r="M82" s="36">
        <f t="shared" si="38"/>
        <v>0</v>
      </c>
      <c r="N82" s="36">
        <f t="shared" si="38"/>
        <v>0</v>
      </c>
      <c r="O82" s="36">
        <f t="shared" si="38"/>
        <v>0</v>
      </c>
    </row>
    <row r="83" ht="12" customHeight="1" spans="1:15">
      <c r="A83" s="39"/>
      <c r="B83" s="34" t="s">
        <v>1456</v>
      </c>
      <c r="C83" s="36">
        <f t="shared" ref="C83:O83" si="39">C74+C79-C80</f>
        <v>0</v>
      </c>
      <c r="D83" s="36">
        <f t="shared" si="39"/>
        <v>0</v>
      </c>
      <c r="E83" s="36">
        <f t="shared" si="39"/>
        <v>0</v>
      </c>
      <c r="F83" s="36">
        <f t="shared" si="39"/>
        <v>0</v>
      </c>
      <c r="G83" s="36">
        <f t="shared" si="39"/>
        <v>0</v>
      </c>
      <c r="H83" s="36">
        <f t="shared" si="39"/>
        <v>0</v>
      </c>
      <c r="I83" s="36">
        <f t="shared" si="39"/>
        <v>0</v>
      </c>
      <c r="J83" s="36">
        <f t="shared" si="39"/>
        <v>0</v>
      </c>
      <c r="K83" s="36">
        <f t="shared" si="39"/>
        <v>0</v>
      </c>
      <c r="L83" s="36">
        <f t="shared" si="39"/>
        <v>0</v>
      </c>
      <c r="M83" s="36">
        <f t="shared" si="39"/>
        <v>0</v>
      </c>
      <c r="N83" s="36">
        <f t="shared" si="39"/>
        <v>0</v>
      </c>
      <c r="O83" s="36">
        <f t="shared" si="39"/>
        <v>0</v>
      </c>
    </row>
    <row r="84" ht="12" customHeight="1" spans="1:15">
      <c r="A84" s="33" t="s">
        <v>1507</v>
      </c>
      <c r="B84" s="34" t="s">
        <v>1451</v>
      </c>
      <c r="C84" s="35"/>
      <c r="D84" s="36">
        <f>C93</f>
        <v>0</v>
      </c>
      <c r="E84" s="36">
        <f t="shared" ref="E84:N84" si="40">C93</f>
        <v>0</v>
      </c>
      <c r="F84" s="36">
        <f t="shared" si="40"/>
        <v>0</v>
      </c>
      <c r="G84" s="36">
        <f t="shared" si="40"/>
        <v>0</v>
      </c>
      <c r="H84" s="36">
        <f t="shared" si="40"/>
        <v>0</v>
      </c>
      <c r="I84" s="36">
        <f t="shared" si="40"/>
        <v>0</v>
      </c>
      <c r="J84" s="36">
        <f t="shared" si="40"/>
        <v>0</v>
      </c>
      <c r="K84" s="36">
        <f t="shared" si="40"/>
        <v>0</v>
      </c>
      <c r="L84" s="36">
        <f t="shared" si="40"/>
        <v>0</v>
      </c>
      <c r="M84" s="36">
        <f t="shared" si="40"/>
        <v>0</v>
      </c>
      <c r="N84" s="36">
        <f t="shared" si="40"/>
        <v>0</v>
      </c>
      <c r="O84" s="36">
        <f>C84</f>
        <v>0</v>
      </c>
    </row>
    <row r="85" ht="12" customHeight="1" spans="1:15">
      <c r="A85" s="37"/>
      <c r="B85" s="38" t="s">
        <v>1452</v>
      </c>
      <c r="C85" s="35"/>
      <c r="D85" s="35"/>
      <c r="E85" s="35"/>
      <c r="F85" s="35"/>
      <c r="G85" s="35"/>
      <c r="H85" s="35"/>
      <c r="I85" s="35"/>
      <c r="J85" s="35"/>
      <c r="K85" s="35"/>
      <c r="L85" s="35"/>
      <c r="M85" s="35"/>
      <c r="N85" s="35"/>
      <c r="O85" s="36">
        <f t="shared" ref="O85:O88" si="41">SUM(C85:N85)</f>
        <v>0</v>
      </c>
    </row>
    <row r="86" ht="12" customHeight="1" spans="1:15">
      <c r="A86" s="37"/>
      <c r="B86" s="38" t="s">
        <v>1453</v>
      </c>
      <c r="C86" s="35"/>
      <c r="D86" s="35"/>
      <c r="E86" s="35"/>
      <c r="F86" s="35"/>
      <c r="G86" s="35"/>
      <c r="H86" s="35"/>
      <c r="I86" s="35"/>
      <c r="J86" s="35"/>
      <c r="K86" s="35"/>
      <c r="L86" s="35"/>
      <c r="M86" s="35"/>
      <c r="N86" s="35"/>
      <c r="O86" s="36">
        <f t="shared" si="41"/>
        <v>0</v>
      </c>
    </row>
    <row r="87" ht="12" customHeight="1" spans="1:15">
      <c r="A87" s="37"/>
      <c r="B87" s="38" t="s">
        <v>1454</v>
      </c>
      <c r="C87" s="35"/>
      <c r="D87" s="35"/>
      <c r="E87" s="35"/>
      <c r="F87" s="35"/>
      <c r="G87" s="35"/>
      <c r="H87" s="35"/>
      <c r="I87" s="35"/>
      <c r="J87" s="35"/>
      <c r="K87" s="35"/>
      <c r="L87" s="35"/>
      <c r="M87" s="35"/>
      <c r="N87" s="35"/>
      <c r="O87" s="36">
        <f t="shared" si="41"/>
        <v>0</v>
      </c>
    </row>
    <row r="88" ht="12" customHeight="1" spans="1:15">
      <c r="A88" s="37"/>
      <c r="B88" s="38" t="s">
        <v>554</v>
      </c>
      <c r="C88" s="35"/>
      <c r="D88" s="35"/>
      <c r="E88" s="35"/>
      <c r="F88" s="35"/>
      <c r="G88" s="35"/>
      <c r="H88" s="35"/>
      <c r="I88" s="35"/>
      <c r="J88" s="35"/>
      <c r="K88" s="35"/>
      <c r="L88" s="35"/>
      <c r="M88" s="35"/>
      <c r="N88" s="35"/>
      <c r="O88" s="36">
        <f t="shared" si="41"/>
        <v>0</v>
      </c>
    </row>
    <row r="89" ht="12" customHeight="1" spans="1:15">
      <c r="A89" s="37"/>
      <c r="B89" s="34" t="s">
        <v>689</v>
      </c>
      <c r="C89" s="36">
        <f t="shared" ref="C89:O89" si="42">SUM(C85:C88)</f>
        <v>0</v>
      </c>
      <c r="D89" s="36">
        <f t="shared" si="42"/>
        <v>0</v>
      </c>
      <c r="E89" s="36">
        <f t="shared" si="42"/>
        <v>0</v>
      </c>
      <c r="F89" s="36">
        <f t="shared" si="42"/>
        <v>0</v>
      </c>
      <c r="G89" s="36">
        <f t="shared" si="42"/>
        <v>0</v>
      </c>
      <c r="H89" s="36">
        <f t="shared" si="42"/>
        <v>0</v>
      </c>
      <c r="I89" s="36">
        <f t="shared" si="42"/>
        <v>0</v>
      </c>
      <c r="J89" s="36">
        <f t="shared" si="42"/>
        <v>0</v>
      </c>
      <c r="K89" s="36">
        <f t="shared" si="42"/>
        <v>0</v>
      </c>
      <c r="L89" s="36">
        <f t="shared" si="42"/>
        <v>0</v>
      </c>
      <c r="M89" s="36">
        <f t="shared" si="42"/>
        <v>0</v>
      </c>
      <c r="N89" s="36">
        <f t="shared" si="42"/>
        <v>0</v>
      </c>
      <c r="O89" s="36">
        <f t="shared" si="42"/>
        <v>0</v>
      </c>
    </row>
    <row r="90" ht="12" customHeight="1" spans="1:15">
      <c r="A90" s="37"/>
      <c r="B90" s="38" t="s">
        <v>1455</v>
      </c>
      <c r="C90" s="35"/>
      <c r="D90" s="35"/>
      <c r="E90" s="35"/>
      <c r="F90" s="35"/>
      <c r="G90" s="35"/>
      <c r="H90" s="35"/>
      <c r="I90" s="35"/>
      <c r="J90" s="35"/>
      <c r="K90" s="35"/>
      <c r="L90" s="35"/>
      <c r="M90" s="35"/>
      <c r="N90" s="35"/>
      <c r="O90" s="36">
        <f>SUM(O86:O89)</f>
        <v>0</v>
      </c>
    </row>
    <row r="91" ht="12" customHeight="1" spans="1:15">
      <c r="A91" s="37"/>
      <c r="B91" s="38" t="s">
        <v>1479</v>
      </c>
      <c r="C91" s="35"/>
      <c r="D91" s="35"/>
      <c r="E91" s="35"/>
      <c r="F91" s="35"/>
      <c r="G91" s="35"/>
      <c r="H91" s="35"/>
      <c r="I91" s="35"/>
      <c r="J91" s="35"/>
      <c r="K91" s="35"/>
      <c r="L91" s="35"/>
      <c r="M91" s="35"/>
      <c r="N91" s="35"/>
      <c r="O91" s="36">
        <f>SUM(O87:O90)</f>
        <v>0</v>
      </c>
    </row>
    <row r="92" ht="12" customHeight="1" spans="1:15">
      <c r="A92" s="37"/>
      <c r="B92" s="34" t="s">
        <v>1480</v>
      </c>
      <c r="C92" s="36">
        <f t="shared" ref="C92:O92" si="43">IF(C91=0,0,C90/C91)</f>
        <v>0</v>
      </c>
      <c r="D92" s="36">
        <f t="shared" si="43"/>
        <v>0</v>
      </c>
      <c r="E92" s="36">
        <f t="shared" si="43"/>
        <v>0</v>
      </c>
      <c r="F92" s="36">
        <f t="shared" si="43"/>
        <v>0</v>
      </c>
      <c r="G92" s="36">
        <f t="shared" si="43"/>
        <v>0</v>
      </c>
      <c r="H92" s="36">
        <f t="shared" si="43"/>
        <v>0</v>
      </c>
      <c r="I92" s="36">
        <f t="shared" si="43"/>
        <v>0</v>
      </c>
      <c r="J92" s="36">
        <f t="shared" si="43"/>
        <v>0</v>
      </c>
      <c r="K92" s="36">
        <f t="shared" si="43"/>
        <v>0</v>
      </c>
      <c r="L92" s="36">
        <f t="shared" si="43"/>
        <v>0</v>
      </c>
      <c r="M92" s="36">
        <f t="shared" si="43"/>
        <v>0</v>
      </c>
      <c r="N92" s="36">
        <f t="shared" si="43"/>
        <v>0</v>
      </c>
      <c r="O92" s="36">
        <f t="shared" si="43"/>
        <v>0</v>
      </c>
    </row>
    <row r="93" ht="12" customHeight="1" spans="1:15">
      <c r="A93" s="39"/>
      <c r="B93" s="34" t="s">
        <v>1456</v>
      </c>
      <c r="C93" s="36">
        <f t="shared" ref="C93:O93" si="44">C84+C89-C90</f>
        <v>0</v>
      </c>
      <c r="D93" s="36">
        <f t="shared" si="44"/>
        <v>0</v>
      </c>
      <c r="E93" s="36">
        <f t="shared" si="44"/>
        <v>0</v>
      </c>
      <c r="F93" s="36">
        <f t="shared" si="44"/>
        <v>0</v>
      </c>
      <c r="G93" s="36">
        <f t="shared" si="44"/>
        <v>0</v>
      </c>
      <c r="H93" s="36">
        <f t="shared" si="44"/>
        <v>0</v>
      </c>
      <c r="I93" s="36">
        <f t="shared" si="44"/>
        <v>0</v>
      </c>
      <c r="J93" s="36">
        <f t="shared" si="44"/>
        <v>0</v>
      </c>
      <c r="K93" s="36">
        <f t="shared" si="44"/>
        <v>0</v>
      </c>
      <c r="L93" s="36">
        <f t="shared" si="44"/>
        <v>0</v>
      </c>
      <c r="M93" s="36">
        <f t="shared" si="44"/>
        <v>0</v>
      </c>
      <c r="N93" s="36">
        <f t="shared" si="44"/>
        <v>0</v>
      </c>
      <c r="O93" s="36">
        <f t="shared" si="44"/>
        <v>0</v>
      </c>
    </row>
    <row r="94" ht="12" customHeight="1" spans="1:15">
      <c r="A94" s="33" t="s">
        <v>1508</v>
      </c>
      <c r="B94" s="34" t="s">
        <v>1451</v>
      </c>
      <c r="C94" s="35"/>
      <c r="D94" s="36">
        <f>C103</f>
        <v>0</v>
      </c>
      <c r="E94" s="36">
        <f t="shared" ref="E94:N94" si="45">C103</f>
        <v>0</v>
      </c>
      <c r="F94" s="36">
        <f t="shared" si="45"/>
        <v>0</v>
      </c>
      <c r="G94" s="36">
        <f t="shared" si="45"/>
        <v>0</v>
      </c>
      <c r="H94" s="36">
        <f t="shared" si="45"/>
        <v>0</v>
      </c>
      <c r="I94" s="36">
        <f t="shared" si="45"/>
        <v>0</v>
      </c>
      <c r="J94" s="36">
        <f t="shared" si="45"/>
        <v>0</v>
      </c>
      <c r="K94" s="36">
        <f t="shared" si="45"/>
        <v>0</v>
      </c>
      <c r="L94" s="36">
        <f t="shared" si="45"/>
        <v>0</v>
      </c>
      <c r="M94" s="36">
        <f t="shared" si="45"/>
        <v>0</v>
      </c>
      <c r="N94" s="36">
        <f t="shared" si="45"/>
        <v>0</v>
      </c>
      <c r="O94" s="36">
        <f>C94</f>
        <v>0</v>
      </c>
    </row>
    <row r="95" ht="12" customHeight="1" spans="1:15">
      <c r="A95" s="37"/>
      <c r="B95" s="38" t="s">
        <v>1452</v>
      </c>
      <c r="C95" s="35"/>
      <c r="D95" s="35"/>
      <c r="E95" s="35"/>
      <c r="F95" s="35"/>
      <c r="G95" s="35"/>
      <c r="H95" s="35"/>
      <c r="I95" s="35"/>
      <c r="J95" s="35"/>
      <c r="K95" s="35"/>
      <c r="L95" s="35"/>
      <c r="M95" s="35"/>
      <c r="N95" s="35"/>
      <c r="O95" s="36">
        <f t="shared" ref="O95:O98" si="46">SUM(C95:N95)</f>
        <v>0</v>
      </c>
    </row>
    <row r="96" ht="12" customHeight="1" spans="1:15">
      <c r="A96" s="37"/>
      <c r="B96" s="38" t="s">
        <v>1453</v>
      </c>
      <c r="C96" s="35"/>
      <c r="D96" s="35"/>
      <c r="E96" s="35"/>
      <c r="F96" s="35"/>
      <c r="G96" s="35"/>
      <c r="H96" s="35"/>
      <c r="I96" s="35"/>
      <c r="J96" s="35"/>
      <c r="K96" s="35"/>
      <c r="L96" s="35"/>
      <c r="M96" s="35"/>
      <c r="N96" s="35"/>
      <c r="O96" s="36">
        <f t="shared" si="46"/>
        <v>0</v>
      </c>
    </row>
    <row r="97" ht="12" customHeight="1" spans="1:15">
      <c r="A97" s="37"/>
      <c r="B97" s="38" t="s">
        <v>1454</v>
      </c>
      <c r="C97" s="35"/>
      <c r="D97" s="35"/>
      <c r="E97" s="35"/>
      <c r="F97" s="35"/>
      <c r="G97" s="35"/>
      <c r="H97" s="35"/>
      <c r="I97" s="35"/>
      <c r="J97" s="35"/>
      <c r="K97" s="35"/>
      <c r="L97" s="35"/>
      <c r="M97" s="35"/>
      <c r="N97" s="35"/>
      <c r="O97" s="36">
        <f t="shared" si="46"/>
        <v>0</v>
      </c>
    </row>
    <row r="98" ht="12" customHeight="1" spans="1:15">
      <c r="A98" s="37"/>
      <c r="B98" s="38" t="s">
        <v>554</v>
      </c>
      <c r="C98" s="35"/>
      <c r="D98" s="35"/>
      <c r="E98" s="35"/>
      <c r="F98" s="35"/>
      <c r="G98" s="35"/>
      <c r="H98" s="35"/>
      <c r="I98" s="35"/>
      <c r="J98" s="35"/>
      <c r="K98" s="35"/>
      <c r="L98" s="35"/>
      <c r="M98" s="35"/>
      <c r="N98" s="35"/>
      <c r="O98" s="36">
        <f t="shared" si="46"/>
        <v>0</v>
      </c>
    </row>
    <row r="99" ht="12" customHeight="1" spans="1:15">
      <c r="A99" s="37"/>
      <c r="B99" s="34" t="s">
        <v>689</v>
      </c>
      <c r="C99" s="36">
        <f t="shared" ref="C99:O99" si="47">SUM(C95:C98)</f>
        <v>0</v>
      </c>
      <c r="D99" s="36">
        <f t="shared" si="47"/>
        <v>0</v>
      </c>
      <c r="E99" s="36">
        <f t="shared" si="47"/>
        <v>0</v>
      </c>
      <c r="F99" s="36">
        <f t="shared" si="47"/>
        <v>0</v>
      </c>
      <c r="G99" s="36">
        <f t="shared" si="47"/>
        <v>0</v>
      </c>
      <c r="H99" s="36">
        <f t="shared" si="47"/>
        <v>0</v>
      </c>
      <c r="I99" s="36">
        <f t="shared" si="47"/>
        <v>0</v>
      </c>
      <c r="J99" s="36">
        <f t="shared" si="47"/>
        <v>0</v>
      </c>
      <c r="K99" s="36">
        <f t="shared" si="47"/>
        <v>0</v>
      </c>
      <c r="L99" s="36">
        <f t="shared" si="47"/>
        <v>0</v>
      </c>
      <c r="M99" s="36">
        <f t="shared" si="47"/>
        <v>0</v>
      </c>
      <c r="N99" s="36">
        <f t="shared" si="47"/>
        <v>0</v>
      </c>
      <c r="O99" s="36">
        <f t="shared" si="47"/>
        <v>0</v>
      </c>
    </row>
    <row r="100" ht="12" customHeight="1" spans="1:15">
      <c r="A100" s="37"/>
      <c r="B100" s="38" t="s">
        <v>1455</v>
      </c>
      <c r="C100" s="35"/>
      <c r="D100" s="35"/>
      <c r="E100" s="35"/>
      <c r="F100" s="35"/>
      <c r="G100" s="35"/>
      <c r="H100" s="35"/>
      <c r="I100" s="35"/>
      <c r="J100" s="35"/>
      <c r="K100" s="35"/>
      <c r="L100" s="35"/>
      <c r="M100" s="35"/>
      <c r="N100" s="35"/>
      <c r="O100" s="36">
        <f>SUM(O96:O99)</f>
        <v>0</v>
      </c>
    </row>
    <row r="101" ht="12" customHeight="1" spans="1:15">
      <c r="A101" s="37"/>
      <c r="B101" s="38" t="s">
        <v>1479</v>
      </c>
      <c r="C101" s="35"/>
      <c r="D101" s="35"/>
      <c r="E101" s="35"/>
      <c r="F101" s="35"/>
      <c r="G101" s="35"/>
      <c r="H101" s="35"/>
      <c r="I101" s="35"/>
      <c r="J101" s="35"/>
      <c r="K101" s="35"/>
      <c r="L101" s="35"/>
      <c r="M101" s="35"/>
      <c r="N101" s="35"/>
      <c r="O101" s="36">
        <f>SUM(O97:O100)</f>
        <v>0</v>
      </c>
    </row>
    <row r="102" ht="12" customHeight="1" spans="1:15">
      <c r="A102" s="37"/>
      <c r="B102" s="34" t="s">
        <v>1480</v>
      </c>
      <c r="C102" s="36">
        <f t="shared" ref="C102:O102" si="48">IF(C101=0,0,C100/C101)</f>
        <v>0</v>
      </c>
      <c r="D102" s="36">
        <f t="shared" si="48"/>
        <v>0</v>
      </c>
      <c r="E102" s="36">
        <f t="shared" si="48"/>
        <v>0</v>
      </c>
      <c r="F102" s="36">
        <f t="shared" si="48"/>
        <v>0</v>
      </c>
      <c r="G102" s="36">
        <f t="shared" si="48"/>
        <v>0</v>
      </c>
      <c r="H102" s="36">
        <f t="shared" si="48"/>
        <v>0</v>
      </c>
      <c r="I102" s="36">
        <f t="shared" si="48"/>
        <v>0</v>
      </c>
      <c r="J102" s="36">
        <f t="shared" si="48"/>
        <v>0</v>
      </c>
      <c r="K102" s="36">
        <f t="shared" si="48"/>
        <v>0</v>
      </c>
      <c r="L102" s="36">
        <f t="shared" si="48"/>
        <v>0</v>
      </c>
      <c r="M102" s="36">
        <f t="shared" si="48"/>
        <v>0</v>
      </c>
      <c r="N102" s="36">
        <f t="shared" si="48"/>
        <v>0</v>
      </c>
      <c r="O102" s="36">
        <f t="shared" si="48"/>
        <v>0</v>
      </c>
    </row>
    <row r="103" ht="12" customHeight="1" spans="1:15">
      <c r="A103" s="39"/>
      <c r="B103" s="34" t="s">
        <v>1456</v>
      </c>
      <c r="C103" s="36">
        <f t="shared" ref="C103:O103" si="49">C94+C99-C100</f>
        <v>0</v>
      </c>
      <c r="D103" s="36">
        <f t="shared" si="49"/>
        <v>0</v>
      </c>
      <c r="E103" s="36">
        <f t="shared" si="49"/>
        <v>0</v>
      </c>
      <c r="F103" s="36">
        <f t="shared" si="49"/>
        <v>0</v>
      </c>
      <c r="G103" s="36">
        <f t="shared" si="49"/>
        <v>0</v>
      </c>
      <c r="H103" s="36">
        <f t="shared" si="49"/>
        <v>0</v>
      </c>
      <c r="I103" s="36">
        <f t="shared" si="49"/>
        <v>0</v>
      </c>
      <c r="J103" s="36">
        <f t="shared" si="49"/>
        <v>0</v>
      </c>
      <c r="K103" s="36">
        <f t="shared" si="49"/>
        <v>0</v>
      </c>
      <c r="L103" s="36">
        <f t="shared" si="49"/>
        <v>0</v>
      </c>
      <c r="M103" s="36">
        <f t="shared" si="49"/>
        <v>0</v>
      </c>
      <c r="N103" s="36">
        <f t="shared" si="49"/>
        <v>0</v>
      </c>
      <c r="O103" s="36">
        <f t="shared" si="49"/>
        <v>0</v>
      </c>
    </row>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sheetData>
  <mergeCells count="10">
    <mergeCell ref="A4:A13"/>
    <mergeCell ref="A14:A23"/>
    <mergeCell ref="A24:A33"/>
    <mergeCell ref="A34:A43"/>
    <mergeCell ref="A44:A53"/>
    <mergeCell ref="A54:A63"/>
    <mergeCell ref="A64:A73"/>
    <mergeCell ref="A74:A83"/>
    <mergeCell ref="A84:A93"/>
    <mergeCell ref="A94:A103"/>
  </mergeCells>
  <pageMargins left="0.75" right="0.75" top="1" bottom="1" header="0.509027777777778" footer="0.509027777777778"/>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6"/>
  <dimension ref="A1:AC74"/>
  <sheetViews>
    <sheetView topLeftCell="A65" workbookViewId="0">
      <selection activeCell="S29" sqref="S29"/>
    </sheetView>
  </sheetViews>
  <sheetFormatPr defaultColWidth="9" defaultRowHeight="12"/>
  <cols>
    <col min="1" max="1" width="10.625" style="2" customWidth="1"/>
    <col min="2" max="2" width="7.625" style="3" customWidth="1"/>
    <col min="3" max="13" width="7.625" style="2" customWidth="1"/>
    <col min="14" max="14" width="6.875" style="2" customWidth="1"/>
    <col min="15" max="15" width="6.375" style="2" customWidth="1"/>
    <col min="16" max="16" width="5.625" style="2" customWidth="1"/>
    <col min="17" max="17" width="6.25" style="2" customWidth="1"/>
    <col min="18" max="27" width="5.625" style="2" customWidth="1"/>
    <col min="28" max="16384" width="9" style="2"/>
  </cols>
  <sheetData>
    <row r="1" ht="13.5" customHeight="1" spans="1:29">
      <c r="A1" s="4" t="s">
        <v>1462</v>
      </c>
      <c r="E1" s="4" t="s">
        <v>1463</v>
      </c>
      <c r="H1" s="4" t="s">
        <v>1435</v>
      </c>
      <c r="O1" s="24"/>
      <c r="P1" s="24"/>
      <c r="Q1" s="4"/>
      <c r="U1" s="4"/>
      <c r="Z1" s="4"/>
      <c r="AC1" s="24"/>
    </row>
    <row r="2" customHeight="1" spans="1:29">
      <c r="A2" s="5" t="s">
        <v>1433</v>
      </c>
      <c r="B2" s="6"/>
      <c r="D2" s="7"/>
      <c r="E2" s="5" t="s">
        <v>1434</v>
      </c>
      <c r="F2" s="7"/>
      <c r="G2" s="7"/>
      <c r="H2" s="5" t="s">
        <v>1435</v>
      </c>
      <c r="I2" s="7"/>
      <c r="J2" s="7"/>
      <c r="K2" s="7"/>
      <c r="P2" s="25" t="s">
        <v>1436</v>
      </c>
      <c r="Q2" s="5"/>
      <c r="S2" s="7"/>
      <c r="U2" s="5"/>
      <c r="V2" s="7"/>
      <c r="X2" s="7"/>
      <c r="Y2" s="7"/>
      <c r="Z2" s="5"/>
      <c r="AC2" s="25"/>
    </row>
    <row r="3" s="1" customFormat="1" ht="11.25" customHeight="1" spans="1:17">
      <c r="A3" s="8" t="s">
        <v>1051</v>
      </c>
      <c r="B3" s="9" t="s">
        <v>1509</v>
      </c>
      <c r="C3" s="10"/>
      <c r="D3" s="10"/>
      <c r="E3" s="10"/>
      <c r="F3" s="11"/>
      <c r="G3" s="9" t="s">
        <v>1510</v>
      </c>
      <c r="H3" s="10"/>
      <c r="I3" s="10"/>
      <c r="J3" s="10"/>
      <c r="K3" s="11"/>
      <c r="L3" s="9" t="s">
        <v>1511</v>
      </c>
      <c r="M3" s="10"/>
      <c r="N3" s="10"/>
      <c r="O3" s="10"/>
      <c r="P3" s="11"/>
      <c r="Q3" s="27" t="s">
        <v>676</v>
      </c>
    </row>
    <row r="4" s="1" customFormat="1" ht="11.25" customHeight="1" spans="1:17">
      <c r="A4" s="12"/>
      <c r="B4" s="9" t="s">
        <v>1512</v>
      </c>
      <c r="C4" s="13"/>
      <c r="D4" s="13"/>
      <c r="E4" s="14"/>
      <c r="F4" s="8" t="s">
        <v>689</v>
      </c>
      <c r="G4" s="9" t="s">
        <v>1512</v>
      </c>
      <c r="H4" s="13"/>
      <c r="I4" s="13"/>
      <c r="J4" s="14"/>
      <c r="K4" s="8" t="s">
        <v>689</v>
      </c>
      <c r="L4" s="9" t="s">
        <v>1512</v>
      </c>
      <c r="M4" s="13"/>
      <c r="N4" s="13"/>
      <c r="O4" s="14"/>
      <c r="P4" s="8" t="s">
        <v>689</v>
      </c>
      <c r="Q4" s="28"/>
    </row>
    <row r="5" s="1" customFormat="1" ht="11.25" customHeight="1" spans="1:17">
      <c r="A5" s="15"/>
      <c r="B5" s="16" t="s">
        <v>1452</v>
      </c>
      <c r="C5" s="16" t="s">
        <v>1453</v>
      </c>
      <c r="D5" s="16" t="s">
        <v>1454</v>
      </c>
      <c r="E5" s="16" t="s">
        <v>554</v>
      </c>
      <c r="F5" s="15"/>
      <c r="G5" s="16" t="s">
        <v>1452</v>
      </c>
      <c r="H5" s="16" t="s">
        <v>1453</v>
      </c>
      <c r="I5" s="16" t="s">
        <v>1454</v>
      </c>
      <c r="J5" s="16" t="s">
        <v>554</v>
      </c>
      <c r="K5" s="15"/>
      <c r="L5" s="16" t="s">
        <v>1452</v>
      </c>
      <c r="M5" s="16" t="s">
        <v>1453</v>
      </c>
      <c r="N5" s="16" t="s">
        <v>1454</v>
      </c>
      <c r="O5" s="16" t="s">
        <v>554</v>
      </c>
      <c r="P5" s="15"/>
      <c r="Q5" s="29"/>
    </row>
    <row r="6" ht="11.25" customHeight="1" spans="1:17">
      <c r="A6" s="17" t="str">
        <f>[2]A产品成本分析表!$A$4</f>
        <v>A</v>
      </c>
      <c r="B6" s="18"/>
      <c r="C6" s="18"/>
      <c r="D6" s="18"/>
      <c r="E6" s="18"/>
      <c r="F6" s="19">
        <f t="shared" ref="F6:F12" si="0">SUM(B6:E6)</f>
        <v>0</v>
      </c>
      <c r="G6" s="20">
        <f>[2]A产品成本分析表!$O$12*[2]A产品成本分析表!$O$14</f>
        <v>0</v>
      </c>
      <c r="H6" s="20">
        <f>[2]A产品成本分析表!$O$12*[2]A产品成本分析表!$O$15</f>
        <v>0</v>
      </c>
      <c r="I6" s="20">
        <f>[2]A产品成本分析表!$O$12*[2]A产品成本分析表!$O$16</f>
        <v>0</v>
      </c>
      <c r="J6" s="20">
        <f>[2]A产品成本分析表!$O$12*[2]A产品成本分析表!$O$17</f>
        <v>0</v>
      </c>
      <c r="K6" s="19">
        <f t="shared" ref="K6:K12" si="1">SUM(G6:J6)</f>
        <v>0</v>
      </c>
      <c r="L6" s="20">
        <f t="shared" ref="L6:P6" si="2">G6-B6</f>
        <v>0</v>
      </c>
      <c r="M6" s="20">
        <f t="shared" si="2"/>
        <v>0</v>
      </c>
      <c r="N6" s="20">
        <f t="shared" si="2"/>
        <v>0</v>
      </c>
      <c r="O6" s="20">
        <f t="shared" si="2"/>
        <v>0</v>
      </c>
      <c r="P6" s="19">
        <f t="shared" si="2"/>
        <v>0</v>
      </c>
      <c r="Q6" s="21">
        <f t="shared" ref="Q6:Q12" si="3">IF(F6=0,0,P6/F6)</f>
        <v>0</v>
      </c>
    </row>
    <row r="7" ht="11.25" customHeight="1" spans="1:17">
      <c r="A7" s="17" t="str">
        <f>[2]B产品成本分析表!$A$4</f>
        <v>B</v>
      </c>
      <c r="B7" s="18"/>
      <c r="C7" s="18"/>
      <c r="D7" s="18"/>
      <c r="E7" s="18"/>
      <c r="F7" s="19">
        <f t="shared" si="0"/>
        <v>0</v>
      </c>
      <c r="G7" s="20">
        <f>[2]B产品成本分析表!$O$12*[2]B产品成本分析表!$O$14</f>
        <v>0</v>
      </c>
      <c r="H7" s="20">
        <f>[2]B产品成本分析表!$O$12*[2]B产品成本分析表!$O$15</f>
        <v>0</v>
      </c>
      <c r="I7" s="20">
        <f>[2]B产品成本分析表!$O$12*[2]B产品成本分析表!$O$16</f>
        <v>0</v>
      </c>
      <c r="J7" s="20">
        <f>[2]B产品成本分析表!$O$12*[2]B产品成本分析表!$O$17</f>
        <v>0</v>
      </c>
      <c r="K7" s="19">
        <f t="shared" si="1"/>
        <v>0</v>
      </c>
      <c r="L7" s="20">
        <f t="shared" ref="L7:P7" si="4">G7-B7</f>
        <v>0</v>
      </c>
      <c r="M7" s="20">
        <f t="shared" si="4"/>
        <v>0</v>
      </c>
      <c r="N7" s="20">
        <f t="shared" si="4"/>
        <v>0</v>
      </c>
      <c r="O7" s="20">
        <f t="shared" si="4"/>
        <v>0</v>
      </c>
      <c r="P7" s="19">
        <f t="shared" si="4"/>
        <v>0</v>
      </c>
      <c r="Q7" s="21">
        <f t="shared" si="3"/>
        <v>0</v>
      </c>
    </row>
    <row r="8" ht="11.25" customHeight="1" spans="1:17">
      <c r="A8" s="17" t="str">
        <f>[2]C产品成本分析表!$A$4</f>
        <v>C</v>
      </c>
      <c r="B8" s="18"/>
      <c r="C8" s="18"/>
      <c r="D8" s="18"/>
      <c r="E8" s="18"/>
      <c r="F8" s="19">
        <f t="shared" si="0"/>
        <v>0</v>
      </c>
      <c r="G8" s="20">
        <f>[2]C产品成本分析表!$O$12*[2]C产品成本分析表!$O$14</f>
        <v>0</v>
      </c>
      <c r="H8" s="20">
        <f>[2]C产品成本分析表!$O$12*[2]C产品成本分析表!$O$15</f>
        <v>0</v>
      </c>
      <c r="I8" s="20">
        <f>[2]C产品成本分析表!$O$12*[2]C产品成本分析表!$O$16</f>
        <v>0</v>
      </c>
      <c r="J8" s="20">
        <f>[2]C产品成本分析表!$O$12*[2]C产品成本分析表!$O$17</f>
        <v>0</v>
      </c>
      <c r="K8" s="19">
        <f t="shared" si="1"/>
        <v>0</v>
      </c>
      <c r="L8" s="20">
        <f t="shared" ref="L8:P8" si="5">G8-B8</f>
        <v>0</v>
      </c>
      <c r="M8" s="20">
        <f t="shared" si="5"/>
        <v>0</v>
      </c>
      <c r="N8" s="20">
        <f t="shared" si="5"/>
        <v>0</v>
      </c>
      <c r="O8" s="20">
        <f t="shared" si="5"/>
        <v>0</v>
      </c>
      <c r="P8" s="19">
        <f t="shared" si="5"/>
        <v>0</v>
      </c>
      <c r="Q8" s="21">
        <f t="shared" si="3"/>
        <v>0</v>
      </c>
    </row>
    <row r="9" ht="11.25" customHeight="1" spans="1:17">
      <c r="A9" s="17" t="str">
        <f>[2]D产品成本分析表!$A$4</f>
        <v>D</v>
      </c>
      <c r="B9" s="18"/>
      <c r="C9" s="18"/>
      <c r="D9" s="18"/>
      <c r="E9" s="18"/>
      <c r="F9" s="19">
        <f t="shared" si="0"/>
        <v>0</v>
      </c>
      <c r="G9" s="20">
        <f>[2]D产品成本分析表!$O$12*[2]D产品成本分析表!$O$14</f>
        <v>0</v>
      </c>
      <c r="H9" s="20">
        <f>[2]D产品成本分析表!$O$12*[2]D产品成本分析表!$O$15</f>
        <v>0</v>
      </c>
      <c r="I9" s="20">
        <f>[2]D产品成本分析表!$O$12*[2]D产品成本分析表!$O$16</f>
        <v>0</v>
      </c>
      <c r="J9" s="20">
        <f>[2]D产品成本分析表!$O$12*[2]D产品成本分析表!$O$17</f>
        <v>0</v>
      </c>
      <c r="K9" s="19">
        <f t="shared" si="1"/>
        <v>0</v>
      </c>
      <c r="L9" s="20">
        <f t="shared" ref="L9:P9" si="6">G9-B9</f>
        <v>0</v>
      </c>
      <c r="M9" s="20">
        <f t="shared" si="6"/>
        <v>0</v>
      </c>
      <c r="N9" s="20">
        <f t="shared" si="6"/>
        <v>0</v>
      </c>
      <c r="O9" s="20">
        <f t="shared" si="6"/>
        <v>0</v>
      </c>
      <c r="P9" s="19">
        <f t="shared" si="6"/>
        <v>0</v>
      </c>
      <c r="Q9" s="21">
        <f t="shared" si="3"/>
        <v>0</v>
      </c>
    </row>
    <row r="10" ht="11.25" customHeight="1" spans="1:17">
      <c r="A10" s="17" t="str">
        <f>[2]E产品成本分析表!$A$4</f>
        <v>E</v>
      </c>
      <c r="B10" s="18"/>
      <c r="C10" s="18"/>
      <c r="D10" s="18"/>
      <c r="E10" s="18"/>
      <c r="F10" s="19">
        <f t="shared" si="0"/>
        <v>0</v>
      </c>
      <c r="G10" s="20">
        <f>[2]E产品成本分析表!$O$12*[2]E产品成本分析表!$O$14</f>
        <v>0</v>
      </c>
      <c r="H10" s="20">
        <f>[2]E产品成本分析表!$O$12*[2]E产品成本分析表!$O$15</f>
        <v>0</v>
      </c>
      <c r="I10" s="20">
        <f>[2]E产品成本分析表!$O$12*[2]E产品成本分析表!$O$16</f>
        <v>0</v>
      </c>
      <c r="J10" s="20">
        <f>[2]E产品成本分析表!$O$12*[2]E产品成本分析表!$O$17</f>
        <v>0</v>
      </c>
      <c r="K10" s="19">
        <f t="shared" si="1"/>
        <v>0</v>
      </c>
      <c r="L10" s="20">
        <f t="shared" ref="L10:P10" si="7">G10-B10</f>
        <v>0</v>
      </c>
      <c r="M10" s="20">
        <f t="shared" si="7"/>
        <v>0</v>
      </c>
      <c r="N10" s="20">
        <f t="shared" si="7"/>
        <v>0</v>
      </c>
      <c r="O10" s="20">
        <f t="shared" si="7"/>
        <v>0</v>
      </c>
      <c r="P10" s="19">
        <f t="shared" si="7"/>
        <v>0</v>
      </c>
      <c r="Q10" s="21">
        <f t="shared" si="3"/>
        <v>0</v>
      </c>
    </row>
    <row r="11" ht="11.25" customHeight="1" spans="1:17">
      <c r="A11" s="17" t="str">
        <f>[2]F产品成本分析表!$A$4</f>
        <v>F</v>
      </c>
      <c r="B11" s="18"/>
      <c r="C11" s="18"/>
      <c r="D11" s="18"/>
      <c r="E11" s="18"/>
      <c r="F11" s="19">
        <f t="shared" si="0"/>
        <v>0</v>
      </c>
      <c r="G11" s="20">
        <f>[2]F产品成本分析表!$O$12*[2]F产品成本分析表!$O$14</f>
        <v>0</v>
      </c>
      <c r="H11" s="20">
        <f>[2]F产品成本分析表!$O$12*[2]F产品成本分析表!$O$15</f>
        <v>0</v>
      </c>
      <c r="I11" s="20">
        <f>[2]F产品成本分析表!$O$12*[2]F产品成本分析表!$O$16</f>
        <v>0</v>
      </c>
      <c r="J11" s="20">
        <f>[2]F产品成本分析表!$O$12*[2]F产品成本分析表!$O$17</f>
        <v>0</v>
      </c>
      <c r="K11" s="19">
        <f t="shared" si="1"/>
        <v>0</v>
      </c>
      <c r="L11" s="20">
        <f t="shared" ref="L11:P11" si="8">G11-B11</f>
        <v>0</v>
      </c>
      <c r="M11" s="20">
        <f t="shared" si="8"/>
        <v>0</v>
      </c>
      <c r="N11" s="20">
        <f t="shared" si="8"/>
        <v>0</v>
      </c>
      <c r="O11" s="20">
        <f t="shared" si="8"/>
        <v>0</v>
      </c>
      <c r="P11" s="19">
        <f t="shared" si="8"/>
        <v>0</v>
      </c>
      <c r="Q11" s="21">
        <f t="shared" si="3"/>
        <v>0</v>
      </c>
    </row>
    <row r="12" ht="11.25" customHeight="1" spans="1:17">
      <c r="A12" s="17" t="str">
        <f>[2]G产品成本分析表!$A$4</f>
        <v>G</v>
      </c>
      <c r="B12" s="18"/>
      <c r="C12" s="18"/>
      <c r="D12" s="18"/>
      <c r="E12" s="18"/>
      <c r="F12" s="19">
        <f t="shared" si="0"/>
        <v>0</v>
      </c>
      <c r="G12" s="20">
        <f>[2]G产品成本分析表!$O$12*[2]G产品成本分析表!$O$14</f>
        <v>0</v>
      </c>
      <c r="H12" s="20">
        <f>[2]G产品成本分析表!$O$12*[2]G产品成本分析表!$O$15</f>
        <v>0</v>
      </c>
      <c r="I12" s="20">
        <f>[2]G产品成本分析表!$O$12*[2]G产品成本分析表!$O$16</f>
        <v>0</v>
      </c>
      <c r="J12" s="20">
        <f>[2]G产品成本分析表!$O$12*[2]G产品成本分析表!$O$17</f>
        <v>0</v>
      </c>
      <c r="K12" s="19">
        <f t="shared" si="1"/>
        <v>0</v>
      </c>
      <c r="L12" s="20">
        <f t="shared" ref="L12:P12" si="9">G12-B12</f>
        <v>0</v>
      </c>
      <c r="M12" s="20">
        <f t="shared" si="9"/>
        <v>0</v>
      </c>
      <c r="N12" s="20">
        <f t="shared" si="9"/>
        <v>0</v>
      </c>
      <c r="O12" s="20">
        <f t="shared" si="9"/>
        <v>0</v>
      </c>
      <c r="P12" s="19">
        <f t="shared" si="9"/>
        <v>0</v>
      </c>
      <c r="Q12" s="21">
        <f t="shared" si="3"/>
        <v>0</v>
      </c>
    </row>
    <row r="13" s="1" customFormat="1" ht="11.25" customHeight="1" spans="1:17">
      <c r="A13" s="8" t="s">
        <v>1051</v>
      </c>
      <c r="B13" s="9" t="s">
        <v>1513</v>
      </c>
      <c r="C13" s="10"/>
      <c r="D13" s="10"/>
      <c r="E13" s="10"/>
      <c r="F13" s="11"/>
      <c r="G13" s="9" t="s">
        <v>1514</v>
      </c>
      <c r="H13" s="10"/>
      <c r="I13" s="10"/>
      <c r="J13" s="10"/>
      <c r="K13" s="11"/>
      <c r="L13" s="16" t="s">
        <v>1515</v>
      </c>
      <c r="M13" s="16"/>
      <c r="N13" s="16"/>
      <c r="O13" s="16"/>
      <c r="P13" s="16"/>
      <c r="Q13" s="30"/>
    </row>
    <row r="14" s="1" customFormat="1" ht="11.25" customHeight="1" spans="1:17">
      <c r="A14" s="12"/>
      <c r="B14" s="9" t="s">
        <v>1512</v>
      </c>
      <c r="C14" s="13"/>
      <c r="D14" s="13"/>
      <c r="E14" s="14"/>
      <c r="F14" s="8" t="s">
        <v>689</v>
      </c>
      <c r="G14" s="9" t="s">
        <v>1512</v>
      </c>
      <c r="H14" s="13"/>
      <c r="I14" s="13"/>
      <c r="J14" s="14"/>
      <c r="K14" s="8" t="s">
        <v>689</v>
      </c>
      <c r="L14" s="16" t="s">
        <v>1512</v>
      </c>
      <c r="M14" s="26"/>
      <c r="N14" s="26"/>
      <c r="O14" s="26"/>
      <c r="P14" s="16"/>
      <c r="Q14" s="30"/>
    </row>
    <row r="15" s="1" customFormat="1" ht="11.25" customHeight="1" spans="1:17">
      <c r="A15" s="15"/>
      <c r="B15" s="16" t="s">
        <v>1452</v>
      </c>
      <c r="C15" s="16" t="s">
        <v>1453</v>
      </c>
      <c r="D15" s="16" t="s">
        <v>1454</v>
      </c>
      <c r="E15" s="16" t="s">
        <v>554</v>
      </c>
      <c r="F15" s="15"/>
      <c r="G15" s="16" t="s">
        <v>1452</v>
      </c>
      <c r="H15" s="16" t="s">
        <v>1453</v>
      </c>
      <c r="I15" s="16" t="s">
        <v>1454</v>
      </c>
      <c r="J15" s="16" t="s">
        <v>554</v>
      </c>
      <c r="K15" s="15"/>
      <c r="L15" s="16" t="s">
        <v>1452</v>
      </c>
      <c r="M15" s="16" t="s">
        <v>1453</v>
      </c>
      <c r="N15" s="16" t="s">
        <v>1454</v>
      </c>
      <c r="O15" s="16" t="s">
        <v>554</v>
      </c>
      <c r="P15" s="16"/>
      <c r="Q15" s="30"/>
    </row>
    <row r="16" ht="11.25" customHeight="1" spans="1:17">
      <c r="A16" s="17" t="str">
        <f t="shared" ref="A16:A22" si="10">IF(A6="","",A6)</f>
        <v>A</v>
      </c>
      <c r="B16" s="21">
        <f t="shared" ref="B16:F16" si="11">IF($F$6=0,0,B6/$F$6)</f>
        <v>0</v>
      </c>
      <c r="C16" s="21">
        <f t="shared" si="11"/>
        <v>0</v>
      </c>
      <c r="D16" s="21">
        <f t="shared" si="11"/>
        <v>0</v>
      </c>
      <c r="E16" s="21">
        <f t="shared" si="11"/>
        <v>0</v>
      </c>
      <c r="F16" s="21">
        <f t="shared" si="11"/>
        <v>0</v>
      </c>
      <c r="G16" s="21">
        <f t="shared" ref="G16:K16" si="12">IF($K$6=0,0,G6/$K$6)</f>
        <v>0</v>
      </c>
      <c r="H16" s="21">
        <f t="shared" si="12"/>
        <v>0</v>
      </c>
      <c r="I16" s="21">
        <f t="shared" si="12"/>
        <v>0</v>
      </c>
      <c r="J16" s="21">
        <f t="shared" si="12"/>
        <v>0</v>
      </c>
      <c r="K16" s="21">
        <f t="shared" si="12"/>
        <v>0</v>
      </c>
      <c r="L16" s="21">
        <f t="shared" ref="L16:L22" si="13">G16-B16</f>
        <v>0</v>
      </c>
      <c r="M16" s="21">
        <f t="shared" ref="M16:M22" si="14">H16-C16</f>
        <v>0</v>
      </c>
      <c r="N16" s="21">
        <f t="shared" ref="N16:N22" si="15">I16-D16</f>
        <v>0</v>
      </c>
      <c r="O16" s="21">
        <f t="shared" ref="O16:O22" si="16">J16-E16</f>
        <v>0</v>
      </c>
      <c r="P16" s="20"/>
      <c r="Q16" s="7"/>
    </row>
    <row r="17" ht="11.25" customHeight="1" spans="1:17">
      <c r="A17" s="17" t="str">
        <f t="shared" si="10"/>
        <v>B</v>
      </c>
      <c r="B17" s="21">
        <f t="shared" ref="B17:F17" si="17">IF($F$7=0,0,B7/$F$7)</f>
        <v>0</v>
      </c>
      <c r="C17" s="21">
        <f t="shared" si="17"/>
        <v>0</v>
      </c>
      <c r="D17" s="21">
        <f t="shared" si="17"/>
        <v>0</v>
      </c>
      <c r="E17" s="21">
        <f t="shared" si="17"/>
        <v>0</v>
      </c>
      <c r="F17" s="21">
        <f t="shared" si="17"/>
        <v>0</v>
      </c>
      <c r="G17" s="21">
        <f t="shared" ref="G17:K17" si="18">IF($K$7=0,0,G7/$K$7)</f>
        <v>0</v>
      </c>
      <c r="H17" s="21">
        <f t="shared" si="18"/>
        <v>0</v>
      </c>
      <c r="I17" s="21">
        <f t="shared" si="18"/>
        <v>0</v>
      </c>
      <c r="J17" s="21">
        <f t="shared" si="18"/>
        <v>0</v>
      </c>
      <c r="K17" s="21">
        <f t="shared" si="18"/>
        <v>0</v>
      </c>
      <c r="L17" s="21">
        <f t="shared" si="13"/>
        <v>0</v>
      </c>
      <c r="M17" s="21">
        <f t="shared" si="14"/>
        <v>0</v>
      </c>
      <c r="N17" s="21">
        <f t="shared" si="15"/>
        <v>0</v>
      </c>
      <c r="O17" s="21">
        <f t="shared" si="16"/>
        <v>0</v>
      </c>
      <c r="P17" s="20"/>
      <c r="Q17" s="7"/>
    </row>
    <row r="18" ht="11.25" customHeight="1" spans="1:17">
      <c r="A18" s="17" t="str">
        <f t="shared" si="10"/>
        <v>C</v>
      </c>
      <c r="B18" s="21">
        <f>IF($F$8=0,0,B8/$F$8)</f>
        <v>0</v>
      </c>
      <c r="C18" s="21">
        <f>IF($F$8=0,0,C8/$F$8)</f>
        <v>0</v>
      </c>
      <c r="D18" s="21">
        <f>IF($F$8=0,0,D8/$F$8)</f>
        <v>0</v>
      </c>
      <c r="E18" s="21">
        <f>IF($F$8=0,0,E8/$F$8)</f>
        <v>0</v>
      </c>
      <c r="F18" s="21">
        <f>IF($F$7=0,0,F8/$F$7)</f>
        <v>0</v>
      </c>
      <c r="G18" s="21">
        <f t="shared" ref="G18:K18" si="19">IF($K$8=0,0,G8/$K$8)</f>
        <v>0</v>
      </c>
      <c r="H18" s="21">
        <f t="shared" si="19"/>
        <v>0</v>
      </c>
      <c r="I18" s="21">
        <f t="shared" si="19"/>
        <v>0</v>
      </c>
      <c r="J18" s="21">
        <f t="shared" si="19"/>
        <v>0</v>
      </c>
      <c r="K18" s="21">
        <f t="shared" si="19"/>
        <v>0</v>
      </c>
      <c r="L18" s="21">
        <f t="shared" si="13"/>
        <v>0</v>
      </c>
      <c r="M18" s="21">
        <f t="shared" si="14"/>
        <v>0</v>
      </c>
      <c r="N18" s="21">
        <f t="shared" si="15"/>
        <v>0</v>
      </c>
      <c r="O18" s="21">
        <f t="shared" si="16"/>
        <v>0</v>
      </c>
      <c r="P18" s="20"/>
      <c r="Q18" s="7"/>
    </row>
    <row r="19" ht="11.25" customHeight="1" spans="1:17">
      <c r="A19" s="17" t="str">
        <f t="shared" si="10"/>
        <v>D</v>
      </c>
      <c r="B19" s="21">
        <f t="shared" ref="B19:F19" si="20">IF($F$9=0,0,B9/$F$9)</f>
        <v>0</v>
      </c>
      <c r="C19" s="21">
        <f t="shared" si="20"/>
        <v>0</v>
      </c>
      <c r="D19" s="21">
        <f t="shared" si="20"/>
        <v>0</v>
      </c>
      <c r="E19" s="21">
        <f t="shared" si="20"/>
        <v>0</v>
      </c>
      <c r="F19" s="21">
        <f t="shared" si="20"/>
        <v>0</v>
      </c>
      <c r="G19" s="21">
        <f t="shared" ref="G19:K19" si="21">IF($K$9=0,0,G9/$K$9)</f>
        <v>0</v>
      </c>
      <c r="H19" s="21">
        <f t="shared" si="21"/>
        <v>0</v>
      </c>
      <c r="I19" s="21">
        <f t="shared" si="21"/>
        <v>0</v>
      </c>
      <c r="J19" s="21">
        <f t="shared" si="21"/>
        <v>0</v>
      </c>
      <c r="K19" s="21">
        <f t="shared" si="21"/>
        <v>0</v>
      </c>
      <c r="L19" s="21">
        <f t="shared" si="13"/>
        <v>0</v>
      </c>
      <c r="M19" s="21">
        <f t="shared" si="14"/>
        <v>0</v>
      </c>
      <c r="N19" s="21">
        <f t="shared" si="15"/>
        <v>0</v>
      </c>
      <c r="O19" s="21">
        <f t="shared" si="16"/>
        <v>0</v>
      </c>
      <c r="P19" s="20"/>
      <c r="Q19" s="7"/>
    </row>
    <row r="20" ht="11.25" customHeight="1" spans="1:17">
      <c r="A20" s="17" t="str">
        <f t="shared" si="10"/>
        <v>E</v>
      </c>
      <c r="B20" s="21">
        <f t="shared" ref="B20:F20" si="22">IF($F$10=0,0,B10/$F$10)</f>
        <v>0</v>
      </c>
      <c r="C20" s="21">
        <f t="shared" si="22"/>
        <v>0</v>
      </c>
      <c r="D20" s="21">
        <f t="shared" si="22"/>
        <v>0</v>
      </c>
      <c r="E20" s="21">
        <f t="shared" si="22"/>
        <v>0</v>
      </c>
      <c r="F20" s="21">
        <f t="shared" si="22"/>
        <v>0</v>
      </c>
      <c r="G20" s="21">
        <f t="shared" ref="G20:K20" si="23">IF($K$10=0,0,G10/$K$10)</f>
        <v>0</v>
      </c>
      <c r="H20" s="21">
        <f t="shared" si="23"/>
        <v>0</v>
      </c>
      <c r="I20" s="21">
        <f t="shared" si="23"/>
        <v>0</v>
      </c>
      <c r="J20" s="21">
        <f t="shared" si="23"/>
        <v>0</v>
      </c>
      <c r="K20" s="21">
        <f t="shared" si="23"/>
        <v>0</v>
      </c>
      <c r="L20" s="21">
        <f t="shared" si="13"/>
        <v>0</v>
      </c>
      <c r="M20" s="21">
        <f t="shared" si="14"/>
        <v>0</v>
      </c>
      <c r="N20" s="21">
        <f t="shared" si="15"/>
        <v>0</v>
      </c>
      <c r="O20" s="21">
        <f t="shared" si="16"/>
        <v>0</v>
      </c>
      <c r="P20" s="20"/>
      <c r="Q20" s="7"/>
    </row>
    <row r="21" ht="11.25" customHeight="1" spans="1:17">
      <c r="A21" s="17" t="str">
        <f t="shared" si="10"/>
        <v>F</v>
      </c>
      <c r="B21" s="21">
        <f t="shared" ref="B21:F21" si="24">IF($F$11=0,0,B11/$F$11)</f>
        <v>0</v>
      </c>
      <c r="C21" s="21">
        <f t="shared" si="24"/>
        <v>0</v>
      </c>
      <c r="D21" s="21">
        <f t="shared" si="24"/>
        <v>0</v>
      </c>
      <c r="E21" s="21">
        <f t="shared" si="24"/>
        <v>0</v>
      </c>
      <c r="F21" s="21">
        <f t="shared" si="24"/>
        <v>0</v>
      </c>
      <c r="G21" s="21">
        <f t="shared" ref="G21:K21" si="25">IF($K$11=0,0,G11/$K$11)</f>
        <v>0</v>
      </c>
      <c r="H21" s="21">
        <f t="shared" si="25"/>
        <v>0</v>
      </c>
      <c r="I21" s="21">
        <f t="shared" si="25"/>
        <v>0</v>
      </c>
      <c r="J21" s="21">
        <f t="shared" si="25"/>
        <v>0</v>
      </c>
      <c r="K21" s="21">
        <f t="shared" si="25"/>
        <v>0</v>
      </c>
      <c r="L21" s="21">
        <f t="shared" si="13"/>
        <v>0</v>
      </c>
      <c r="M21" s="21">
        <f t="shared" si="14"/>
        <v>0</v>
      </c>
      <c r="N21" s="21">
        <f t="shared" si="15"/>
        <v>0</v>
      </c>
      <c r="O21" s="21">
        <f t="shared" si="16"/>
        <v>0</v>
      </c>
      <c r="P21" s="20"/>
      <c r="Q21" s="7"/>
    </row>
    <row r="22" ht="11.25" customHeight="1" spans="1:17">
      <c r="A22" s="17" t="str">
        <f t="shared" si="10"/>
        <v>G</v>
      </c>
      <c r="B22" s="21">
        <f t="shared" ref="B22:F22" si="26">IF($F$12=0,0,B12/$F$12)</f>
        <v>0</v>
      </c>
      <c r="C22" s="21">
        <f t="shared" si="26"/>
        <v>0</v>
      </c>
      <c r="D22" s="21">
        <f t="shared" si="26"/>
        <v>0</v>
      </c>
      <c r="E22" s="21">
        <f t="shared" si="26"/>
        <v>0</v>
      </c>
      <c r="F22" s="21">
        <f t="shared" si="26"/>
        <v>0</v>
      </c>
      <c r="G22" s="21">
        <f t="shared" ref="G22:K22" si="27">IF($K$12=0,0,G12/$K$12)</f>
        <v>0</v>
      </c>
      <c r="H22" s="21">
        <f t="shared" si="27"/>
        <v>0</v>
      </c>
      <c r="I22" s="21">
        <f t="shared" si="27"/>
        <v>0</v>
      </c>
      <c r="J22" s="21">
        <f t="shared" si="27"/>
        <v>0</v>
      </c>
      <c r="K22" s="21">
        <f t="shared" si="27"/>
        <v>0</v>
      </c>
      <c r="L22" s="21">
        <f t="shared" si="13"/>
        <v>0</v>
      </c>
      <c r="M22" s="21">
        <f t="shared" si="14"/>
        <v>0</v>
      </c>
      <c r="N22" s="21">
        <f t="shared" si="15"/>
        <v>0</v>
      </c>
      <c r="O22" s="21">
        <f t="shared" si="16"/>
        <v>0</v>
      </c>
      <c r="P22" s="20"/>
      <c r="Q22" s="7"/>
    </row>
    <row r="23" ht="11.25" customHeight="1" spans="1:16">
      <c r="A23" s="22" t="s">
        <v>1516</v>
      </c>
      <c r="B23" s="23"/>
      <c r="C23" s="23"/>
      <c r="D23" s="23"/>
      <c r="E23" s="23"/>
      <c r="F23" s="23"/>
      <c r="G23" s="23"/>
      <c r="H23" s="23"/>
      <c r="I23" s="23"/>
      <c r="J23" s="23"/>
      <c r="K23" s="23"/>
      <c r="L23" s="23"/>
      <c r="M23" s="23"/>
      <c r="N23" s="23"/>
      <c r="O23" s="23"/>
      <c r="P23" s="23"/>
    </row>
    <row r="24" spans="1:9">
      <c r="A24" s="4" t="s">
        <v>1517</v>
      </c>
      <c r="I24" s="4" t="s">
        <v>1518</v>
      </c>
    </row>
    <row r="25" spans="2:2">
      <c r="B25" s="3" t="s">
        <v>1519</v>
      </c>
    </row>
    <row r="45" ht="13.5" customHeight="1" spans="1:29">
      <c r="A45" s="4" t="s">
        <v>1462</v>
      </c>
      <c r="E45" s="4" t="s">
        <v>1463</v>
      </c>
      <c r="H45" s="4" t="s">
        <v>1435</v>
      </c>
      <c r="O45" s="24"/>
      <c r="P45" s="24"/>
      <c r="Q45" s="4"/>
      <c r="U45" s="4"/>
      <c r="Z45" s="4"/>
      <c r="AC45" s="24"/>
    </row>
    <row r="46" customHeight="1" spans="1:29">
      <c r="A46" s="5" t="s">
        <v>1433</v>
      </c>
      <c r="B46" s="6"/>
      <c r="D46" s="7"/>
      <c r="E46" s="5" t="s">
        <v>1434</v>
      </c>
      <c r="F46" s="7"/>
      <c r="G46" s="7"/>
      <c r="H46" s="5" t="s">
        <v>1435</v>
      </c>
      <c r="I46" s="7"/>
      <c r="J46" s="7"/>
      <c r="K46" s="7"/>
      <c r="P46" s="25" t="s">
        <v>1436</v>
      </c>
      <c r="Q46" s="5"/>
      <c r="S46" s="7"/>
      <c r="U46" s="5"/>
      <c r="V46" s="7"/>
      <c r="X46" s="7"/>
      <c r="Y46" s="7"/>
      <c r="Z46" s="5"/>
      <c r="AC46" s="25"/>
    </row>
    <row r="47" spans="1:9">
      <c r="A47" s="4" t="s">
        <v>1520</v>
      </c>
      <c r="I47" s="4" t="s">
        <v>1521</v>
      </c>
    </row>
    <row r="61" spans="1:9">
      <c r="A61" s="4" t="s">
        <v>1522</v>
      </c>
      <c r="I61" s="4" t="s">
        <v>1523</v>
      </c>
    </row>
    <row r="74" spans="1:9">
      <c r="A74" s="4" t="s">
        <v>1524</v>
      </c>
      <c r="I74" s="4" t="s">
        <v>1459</v>
      </c>
    </row>
  </sheetData>
  <mergeCells count="21">
    <mergeCell ref="B3:F3"/>
    <mergeCell ref="G3:K3"/>
    <mergeCell ref="L3:P3"/>
    <mergeCell ref="B4:E4"/>
    <mergeCell ref="G4:J4"/>
    <mergeCell ref="L4:O4"/>
    <mergeCell ref="B13:F13"/>
    <mergeCell ref="G13:K13"/>
    <mergeCell ref="L13:P13"/>
    <mergeCell ref="B14:E14"/>
    <mergeCell ref="G14:J14"/>
    <mergeCell ref="L14:O14"/>
    <mergeCell ref="A3:A5"/>
    <mergeCell ref="A13:A15"/>
    <mergeCell ref="F4:F5"/>
    <mergeCell ref="F14:F15"/>
    <mergeCell ref="K4:K5"/>
    <mergeCell ref="K14:K15"/>
    <mergeCell ref="P4:P5"/>
    <mergeCell ref="P14:P15"/>
    <mergeCell ref="Q3:Q5"/>
  </mergeCells>
  <conditionalFormatting sqref="L6:O12">
    <cfRule type="expression" dxfId="10" priority="1" stopIfTrue="1">
      <formula>ABS(L6/B6)&gt;=0.3</formula>
    </cfRule>
  </conditionalFormatting>
  <conditionalFormatting sqref="L16:O22">
    <cfRule type="cellIs" dxfId="1" priority="2" stopIfTrue="1" operator="notBetween">
      <formula>0.3</formula>
      <formula>-0.3</formula>
    </cfRule>
  </conditionalFormatting>
  <pageMargins left="0.75" right="0.75" top="1" bottom="1" header="0.509027777777778" footer="0.509027777777778"/>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L31"/>
  <sheetViews>
    <sheetView zoomScale="85" zoomScaleNormal="85" workbookViewId="0">
      <selection activeCell="D30" sqref="D30:F30"/>
    </sheetView>
  </sheetViews>
  <sheetFormatPr defaultColWidth="9" defaultRowHeight="14.25"/>
  <cols>
    <col min="1" max="6" width="17.375" customWidth="1"/>
    <col min="10" max="10" width="12.625"/>
  </cols>
  <sheetData>
    <row r="1" ht="29.25" spans="1:6">
      <c r="A1" s="1020" t="s">
        <v>195</v>
      </c>
      <c r="B1" s="1020"/>
      <c r="C1" s="1020"/>
      <c r="D1" s="1020"/>
      <c r="E1" s="1020"/>
      <c r="F1" s="1020"/>
    </row>
    <row r="2" ht="16.5" spans="1:6">
      <c r="A2" s="1021"/>
      <c r="B2" s="1021"/>
      <c r="C2" s="1021"/>
      <c r="D2" s="1021"/>
      <c r="E2" s="1021"/>
      <c r="F2" s="1022" t="s">
        <v>196</v>
      </c>
    </row>
    <row r="3" ht="16.5" spans="1:6">
      <c r="A3" s="1023"/>
      <c r="B3" s="1024"/>
      <c r="C3" s="1025" t="s">
        <v>197</v>
      </c>
      <c r="D3" s="1025"/>
      <c r="E3" s="1024"/>
      <c r="F3" s="1026" t="s">
        <v>198</v>
      </c>
    </row>
    <row r="4" ht="16.5" spans="1:6">
      <c r="A4" s="1027" t="s">
        <v>199</v>
      </c>
      <c r="B4" s="1027"/>
      <c r="C4" s="1027"/>
      <c r="D4" s="1027"/>
      <c r="E4" s="1027"/>
      <c r="F4" s="1027"/>
    </row>
    <row r="5" ht="16.5" spans="1:6">
      <c r="A5" s="1028" t="s">
        <v>93</v>
      </c>
      <c r="B5" s="1028" t="s">
        <v>94</v>
      </c>
      <c r="C5" s="1028" t="s">
        <v>95</v>
      </c>
      <c r="D5" s="1028" t="s">
        <v>96</v>
      </c>
      <c r="E5" s="1028" t="s">
        <v>94</v>
      </c>
      <c r="F5" s="1028" t="s">
        <v>95</v>
      </c>
    </row>
    <row r="6" ht="16.5" spans="1:6">
      <c r="A6" s="1029" t="s">
        <v>99</v>
      </c>
      <c r="B6" s="1030">
        <f>资产负债表!B6</f>
        <v>4559</v>
      </c>
      <c r="C6" s="1030">
        <f>资产负债表!C6</f>
        <v>7889</v>
      </c>
      <c r="D6" s="1031" t="s">
        <v>200</v>
      </c>
      <c r="E6" s="1030">
        <f>资产负债表!E18</f>
        <v>110803</v>
      </c>
      <c r="F6" s="1030">
        <f>资产负债表!F18</f>
        <v>533666</v>
      </c>
    </row>
    <row r="7" ht="16.5" spans="1:6">
      <c r="A7" s="1031" t="s">
        <v>201</v>
      </c>
      <c r="B7" s="1030">
        <f>资产负债表!B17</f>
        <v>616398</v>
      </c>
      <c r="C7" s="1030">
        <f>资产负债表!C17</f>
        <v>673932</v>
      </c>
      <c r="D7" s="1031" t="s">
        <v>202</v>
      </c>
      <c r="E7" s="1030">
        <f>资产负债表!E27</f>
        <v>0</v>
      </c>
      <c r="F7" s="1030">
        <f>资产负债表!F27</f>
        <v>0</v>
      </c>
    </row>
    <row r="8" ht="16.5" spans="1:6">
      <c r="A8" s="1031" t="s">
        <v>203</v>
      </c>
      <c r="B8" s="1030">
        <f>资产负债表!B36</f>
        <v>118531</v>
      </c>
      <c r="C8" s="1030">
        <f>资产负债表!C36</f>
        <v>676266</v>
      </c>
      <c r="D8" s="1031" t="s">
        <v>204</v>
      </c>
      <c r="E8" s="1030">
        <f>E6+E7</f>
        <v>110803</v>
      </c>
      <c r="F8" s="1030">
        <f>F6+F7</f>
        <v>533666</v>
      </c>
    </row>
    <row r="9" ht="16.5" spans="1:6">
      <c r="A9" s="1032"/>
      <c r="B9" s="1033"/>
      <c r="C9" s="1033"/>
      <c r="D9" s="1029" t="s">
        <v>148</v>
      </c>
      <c r="E9" s="1030">
        <f>资产负债表!E30</f>
        <v>333333</v>
      </c>
      <c r="F9" s="1030">
        <f>资产负债表!F30</f>
        <v>333333</v>
      </c>
    </row>
    <row r="10" ht="16.5" spans="1:6">
      <c r="A10" s="1029"/>
      <c r="B10" s="1033"/>
      <c r="C10" s="1033"/>
      <c r="D10" s="1029" t="s">
        <v>150</v>
      </c>
      <c r="E10" s="1030">
        <f>资产负债表!E31</f>
        <v>0</v>
      </c>
      <c r="F10" s="1030">
        <f>资产负债表!F31</f>
        <v>0</v>
      </c>
    </row>
    <row r="11" ht="16.5" spans="1:6">
      <c r="A11" s="1029"/>
      <c r="B11" s="1033"/>
      <c r="C11" s="1033"/>
      <c r="D11" s="1029" t="s">
        <v>152</v>
      </c>
      <c r="E11" s="1030">
        <f>资产负债表!E32</f>
        <v>0</v>
      </c>
      <c r="F11" s="1030">
        <f>资产负债表!F32</f>
        <v>0</v>
      </c>
    </row>
    <row r="12" ht="16.5" spans="1:6">
      <c r="A12" s="1029"/>
      <c r="B12" s="1033"/>
      <c r="C12" s="1033"/>
      <c r="D12" s="1029" t="s">
        <v>154</v>
      </c>
      <c r="E12" s="1030">
        <f>资产负债表!E33</f>
        <v>0</v>
      </c>
      <c r="F12" s="1030">
        <f>资产负债表!F33</f>
        <v>0</v>
      </c>
    </row>
    <row r="13" ht="16.5" spans="1:6">
      <c r="A13" s="1029"/>
      <c r="B13" s="1033"/>
      <c r="C13" s="1033"/>
      <c r="D13" s="1029" t="s">
        <v>156</v>
      </c>
      <c r="E13" s="1030">
        <f>资产负债表!E34</f>
        <v>0</v>
      </c>
      <c r="F13" s="1030">
        <f>资产负债表!F34</f>
        <v>0</v>
      </c>
    </row>
    <row r="14" ht="16.5" spans="1:6">
      <c r="A14" s="1029"/>
      <c r="B14" s="1033"/>
      <c r="C14" s="1033"/>
      <c r="D14" s="1031" t="s">
        <v>205</v>
      </c>
      <c r="E14" s="1030">
        <f>E9+E10-E11+E12+E13</f>
        <v>333333</v>
      </c>
      <c r="F14" s="1030">
        <f>F9+F10-F11+F12+F13</f>
        <v>333333</v>
      </c>
    </row>
    <row r="15" ht="16.5" spans="1:6">
      <c r="A15" s="1034" t="s">
        <v>160</v>
      </c>
      <c r="B15" s="1035">
        <f>B7+B8</f>
        <v>734929</v>
      </c>
      <c r="C15" s="1035">
        <f>C7+C8</f>
        <v>1350198</v>
      </c>
      <c r="D15" s="1034" t="s">
        <v>161</v>
      </c>
      <c r="E15" s="1035">
        <f>E8+E14</f>
        <v>444136</v>
      </c>
      <c r="F15" s="1035">
        <f>F8+F14</f>
        <v>866999</v>
      </c>
    </row>
    <row r="16" ht="16.5" spans="1:6">
      <c r="A16" s="1036" t="s">
        <v>206</v>
      </c>
      <c r="B16" s="1037"/>
      <c r="C16" s="1037"/>
      <c r="D16" s="1037"/>
      <c r="E16" s="1037"/>
      <c r="F16" s="1038"/>
    </row>
    <row r="17" ht="16.5" spans="1:8">
      <c r="A17" s="1039" t="s">
        <v>207</v>
      </c>
      <c r="B17" s="1040" t="str">
        <f>IF(AND(E6=0,B7&lt;E7),"保守型",IF(AND(E6&gt;0,E6&lt;B7&lt;E8),"稳健型",IF(AND(E6&gt;0,B7&lt;E6),"风险型",IF(AND(B7=E8,B8=E14),"非正常型Ⅰ",IF(AND(E8&gt;B7,E14&lt;0),"非正常型Ⅱ","非正常型Ⅲ")))))</f>
        <v>非正常型Ⅲ</v>
      </c>
      <c r="C17" s="1041"/>
      <c r="D17" s="1041"/>
      <c r="E17" s="1041"/>
      <c r="F17" s="1042"/>
      <c r="H17">
        <f>50000*1.2%</f>
        <v>600</v>
      </c>
    </row>
    <row r="18" ht="16.5" spans="1:6">
      <c r="A18" s="1039" t="s">
        <v>208</v>
      </c>
      <c r="B18" s="1040" t="str">
        <f>IF(AND(F6=0,C7&lt;F7),"保守型",IF(AND(F6&gt;0,F6&lt;C7&lt;F8),"稳健型",IF(AND(F6&gt;0,C7&lt;F6),"风险型",IF(AND(C7=F8,C8=F14),"非正常型Ⅰ",IF(AND(F8&gt;C7,F14&lt;0),"非正常型Ⅱ","非正常型Ⅲ")))))</f>
        <v>非正常型Ⅲ</v>
      </c>
      <c r="C18" s="1041"/>
      <c r="D18" s="1041"/>
      <c r="E18" s="1041"/>
      <c r="F18" s="1042"/>
    </row>
    <row r="19" ht="16.5" spans="1:9">
      <c r="A19" s="1036" t="s">
        <v>209</v>
      </c>
      <c r="B19" s="1037"/>
      <c r="C19" s="1037"/>
      <c r="D19" s="1037"/>
      <c r="E19" s="1037"/>
      <c r="F19" s="1038"/>
      <c r="H19">
        <f>50000*2%</f>
        <v>1000</v>
      </c>
      <c r="I19">
        <f>1.3%*50000</f>
        <v>650</v>
      </c>
    </row>
    <row r="20" ht="16.5" spans="1:6">
      <c r="A20" s="1043" t="s">
        <v>210</v>
      </c>
      <c r="B20" s="1030">
        <f>B15-E8</f>
        <v>624126</v>
      </c>
      <c r="C20" s="1030">
        <f>C15-F8</f>
        <v>816532</v>
      </c>
      <c r="D20" s="1044" t="s">
        <v>211</v>
      </c>
      <c r="E20" s="1045"/>
      <c r="F20" s="1046"/>
    </row>
    <row r="21" ht="16.5" spans="1:9">
      <c r="A21" s="1043" t="s">
        <v>212</v>
      </c>
      <c r="B21" s="1047">
        <f>IF(OR(利润表!B6=0,利润表!B7=0),0,365*资产负债表!B9/利润表!B6-365*资产负债表!E9/利润表!B6+365*资产负债表!B14/利润表!B7)</f>
        <v>5083.4759512165</v>
      </c>
      <c r="C21" s="1047">
        <f>IF(OR(利润表!C6=0,利润表!C7=0),0,365*资产负债表!C9/利润表!C6-365*资产负债表!F9/利润表!C6+365*资产负债表!C14/利润表!C7)</f>
        <v>10423.8387887024</v>
      </c>
      <c r="D21" s="1044" t="s">
        <v>213</v>
      </c>
      <c r="E21" s="1045"/>
      <c r="F21" s="1046"/>
      <c r="I21">
        <f>H19-I19</f>
        <v>350</v>
      </c>
    </row>
    <row r="22" ht="16.5" spans="1:6">
      <c r="A22" s="1043" t="s">
        <v>214</v>
      </c>
      <c r="B22" s="1030">
        <f>资产负债表!B6+资产负债表!B8+资产负债表!B9+资产负债表!B11+资产负债表!B12+资产负债表!B13+资产负债表!B20+资产负债表!B21</f>
        <v>596330</v>
      </c>
      <c r="C22" s="1030">
        <f>资产负债表!C6+资产负债表!C8+资产负债表!C9+资产负债表!C11+资产负债表!C12+资产负债表!C13+资产负债表!C20+资产负债表!C21</f>
        <v>639765</v>
      </c>
      <c r="D22" s="1044"/>
      <c r="E22" s="1045"/>
      <c r="F22" s="1046"/>
    </row>
    <row r="23" ht="16.5" spans="1:12">
      <c r="A23" s="1043" t="s">
        <v>215</v>
      </c>
      <c r="B23" s="1030">
        <f>资产负债表!E6+资产负债表!E8+资产负债表!E9+资产负债表!E11+资产负债表!E12+资产负债表!E13+资产负债表!E14+资产负债表!E15+资产负债表!E20+资产负债表!E21+资产负债表!E22+资产负债表!E23</f>
        <v>109470</v>
      </c>
      <c r="C23" s="1030">
        <f>资产负债表!F6+资产负债表!F8+资产负债表!F9+资产负债表!F11+资产负债表!F12+资产负债表!F13+资产负债表!F14+资产负债表!F15+资产负债表!F20+资产负债表!F21+资产负债表!F22+资产负债表!F23</f>
        <v>533666</v>
      </c>
      <c r="D23" s="1044"/>
      <c r="E23" s="1045"/>
      <c r="F23" s="1046"/>
      <c r="I23">
        <f>L23*I21</f>
        <v>70000</v>
      </c>
      <c r="L23">
        <f>10000000/50000</f>
        <v>200</v>
      </c>
    </row>
    <row r="24" ht="16.5" spans="1:10">
      <c r="A24" s="1043" t="s">
        <v>216</v>
      </c>
      <c r="B24" s="1030">
        <f>(资产负债表!B17-资产负债表!B6-资产负债表!B7-资产负债表!B8)-(资产负债表!E18-资产负债表!E6-资产负债表!E7-资产负债表!E8)</f>
        <v>558402</v>
      </c>
      <c r="C24" s="1030">
        <f>(资产负债表!C17-资产负债表!C6-资产负债表!C7-资产负债表!C8)-(资产负债表!F18-资产负债表!F6-资产负债表!F7-资产负债表!F8)</f>
        <v>517551</v>
      </c>
      <c r="D24" s="1048" t="str">
        <f>"本年经营协调状态为："&amp;IF(AND(B26&gt;0,B26&gt;B24,B24&gt;0,B25&gt;0),"协调且有支付能力",IF(AND(B26&gt;0,B24&lt;=0,B25&gt;0),"资金大量富裕",IF(AND(B26&lt;=0,ABS(B26)&lt;ABS(B24),B24&lt;=0,B25&gt;0),"不协调但能维持",IF(AND(B26&lt;=0,ABS(B26)&gt;ABS(B24),B24&lt;=0,B25&lt;=0),"不协调",IF(AND(B26&gt;0,B26&lt;B24,B24&gt;0,B25&lt;=0),"协调但支付有困难","严重不协调")))))</f>
        <v>本年经营协调状态为：协调但支付有困难</v>
      </c>
      <c r="E24" s="1049"/>
      <c r="F24" s="1050"/>
      <c r="J24">
        <f>I23/12</f>
        <v>5833.33333333333</v>
      </c>
    </row>
    <row r="25" ht="16.5" spans="1:6">
      <c r="A25" s="1043" t="s">
        <v>217</v>
      </c>
      <c r="B25" s="1030">
        <f>(资产负债表!B6+资产负债表!B7+资产负债表!B8)-(资产负债表!E6+资产负债表!E7+资产负债表!E8)</f>
        <v>-52807</v>
      </c>
      <c r="C25" s="1030">
        <f>(资产负债表!C6+资产负债表!C7+资产负债表!C8)-(资产负债表!F6+资产负债表!F7+资产负债表!F8)</f>
        <v>-377285</v>
      </c>
      <c r="D25" s="1048" t="str">
        <f>"去年经营协调状态为："&amp;IF(AND(C26&gt;0,C26&gt;C24,C24&gt;0,C25&gt;0),"协调且有支付能力",IF(AND(C26&gt;0,C24&lt;=0,C25&gt;0),"资金大量富裕",IF(AND(C26&lt;=0,ABS(C26)&lt;ABS(C24),C24&lt;=0,C25&gt;0),"不协调但能维持",IF(AND(C26&lt;=0,ABS(C26)&gt;ABS(C24),C24&lt;=0,C25&lt;=0),"不协调",IF(AND(C26&gt;0,C26&lt;C24,C24&gt;0,C25&lt;=0),"协调但支付有困难","严重不协调")))))</f>
        <v>去年经营协调状态为：协调但支付有困难</v>
      </c>
      <c r="E25" s="1049"/>
      <c r="F25" s="1050"/>
    </row>
    <row r="26" ht="16.5" spans="1:6">
      <c r="A26" s="1043" t="s">
        <v>218</v>
      </c>
      <c r="B26" s="1030">
        <f>资产负债表!B17-资产负债表!E18</f>
        <v>505595</v>
      </c>
      <c r="C26" s="1030">
        <f>资产负债表!C17-资产负债表!F18</f>
        <v>140266</v>
      </c>
      <c r="D26" s="1044" t="s">
        <v>219</v>
      </c>
      <c r="E26" s="1045"/>
      <c r="F26" s="1046"/>
    </row>
    <row r="27" ht="16.5" spans="1:6">
      <c r="A27" s="1043" t="s">
        <v>220</v>
      </c>
      <c r="B27" s="1030">
        <f>资产负债表!E27+资产负债表!E35-资产负债表!B36</f>
        <v>214802</v>
      </c>
      <c r="C27" s="1030">
        <f>资产负债表!F27+资产负债表!F35-资产负债表!C36</f>
        <v>-342933</v>
      </c>
      <c r="D27" s="1044" t="s">
        <v>221</v>
      </c>
      <c r="E27" s="1045"/>
      <c r="F27" s="1046"/>
    </row>
    <row r="28" ht="16.5" spans="1:6">
      <c r="A28" s="1043" t="s">
        <v>222</v>
      </c>
      <c r="B28" s="1051">
        <f>IF(C26=0,0,(B26-C26)/C26)</f>
        <v>2.60454422311893</v>
      </c>
      <c r="C28" s="1052"/>
      <c r="D28" s="1044" t="s">
        <v>223</v>
      </c>
      <c r="E28" s="1045"/>
      <c r="F28" s="1046"/>
    </row>
    <row r="29" ht="16.5" spans="1:6">
      <c r="A29" s="1043" t="s">
        <v>224</v>
      </c>
      <c r="B29" s="1051">
        <f>IF(C27=0,0,(B27-C27)/C27)</f>
        <v>-1.62636724957936</v>
      </c>
      <c r="C29" s="1052"/>
      <c r="D29" s="1053" t="str">
        <f>IF(B28&gt;B29,"消化不掉供产销市场风险,注意存货滞压和应收款坏账","自身成长可消化掉供产销市场风险")</f>
        <v>消化不掉供产销市场风险,注意存货滞压和应收款坏账</v>
      </c>
      <c r="E29" s="1054"/>
      <c r="F29" s="1055"/>
    </row>
    <row r="30" ht="16.5" spans="1:6">
      <c r="A30" s="1043" t="s">
        <v>225</v>
      </c>
      <c r="B30" s="1051">
        <f>IF(利润表!C6=0,0,(利润表!B6-利润表!C6)/利润表!C6)</f>
        <v>0.612961296129613</v>
      </c>
      <c r="C30" s="1052"/>
      <c r="D30" s="1053" t="str">
        <f>IF(B30&lt;B28,"营销政策有问题，会产生大量不良资产，利润表很好看，销售是没质量的","营销政策健康协调")</f>
        <v>营销政策有问题，会产生大量不良资产，利润表很好看，销售是没质量的</v>
      </c>
      <c r="E30" s="1054"/>
      <c r="F30" s="1055"/>
    </row>
    <row r="31" ht="17.25" spans="1:6">
      <c r="A31" s="553"/>
      <c r="B31" s="553"/>
      <c r="C31" s="553"/>
      <c r="D31" s="553"/>
      <c r="E31" s="553"/>
      <c r="F31" s="553"/>
    </row>
  </sheetData>
  <mergeCells count="21">
    <mergeCell ref="A1:F1"/>
    <mergeCell ref="C3:D3"/>
    <mergeCell ref="A4:F4"/>
    <mergeCell ref="A16:F16"/>
    <mergeCell ref="B17:F17"/>
    <mergeCell ref="B18:F18"/>
    <mergeCell ref="A19:F19"/>
    <mergeCell ref="D20:F20"/>
    <mergeCell ref="D21:F21"/>
    <mergeCell ref="D22:F22"/>
    <mergeCell ref="D23:F23"/>
    <mergeCell ref="D24:F24"/>
    <mergeCell ref="D25:F25"/>
    <mergeCell ref="D26:F26"/>
    <mergeCell ref="D27:F27"/>
    <mergeCell ref="B28:C28"/>
    <mergeCell ref="D28:F28"/>
    <mergeCell ref="B29:C29"/>
    <mergeCell ref="D29:F29"/>
    <mergeCell ref="B30:C30"/>
    <mergeCell ref="D30:F30"/>
  </mergeCells>
  <pageMargins left="0.75" right="0.75" top="1" bottom="1" header="0.509027777777778" footer="0.509027777777778"/>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E77"/>
  <sheetViews>
    <sheetView zoomScale="90" zoomScaleNormal="90" workbookViewId="0">
      <selection activeCell="C11" sqref="C11"/>
    </sheetView>
  </sheetViews>
  <sheetFormatPr defaultColWidth="9" defaultRowHeight="17.25" outlineLevelCol="4"/>
  <cols>
    <col min="1" max="1" width="3.5" style="968" customWidth="1"/>
    <col min="2" max="2" width="58" style="969" customWidth="1"/>
    <col min="3" max="3" width="22.5" style="970" customWidth="1"/>
    <col min="4" max="4" width="11.75" style="971" customWidth="1"/>
    <col min="5" max="5" width="23.375" style="972" customWidth="1"/>
    <col min="6" max="16384" width="9" style="972"/>
  </cols>
  <sheetData>
    <row r="1" ht="20.25" customHeight="1" spans="1:5">
      <c r="A1" s="973" t="s">
        <v>226</v>
      </c>
      <c r="B1" s="974"/>
      <c r="C1" s="974"/>
      <c r="D1" s="974"/>
      <c r="E1" s="974"/>
    </row>
    <row r="2" s="966" customFormat="1" ht="18" spans="1:4">
      <c r="A2" s="975" t="s">
        <v>26</v>
      </c>
      <c r="B2" s="975" t="s">
        <v>227</v>
      </c>
      <c r="C2" s="976" t="s">
        <v>228</v>
      </c>
      <c r="D2" s="977"/>
    </row>
    <row r="3" s="967" customFormat="1" ht="16.5" spans="1:4">
      <c r="A3" s="978">
        <v>1</v>
      </c>
      <c r="B3" s="979" t="s">
        <v>229</v>
      </c>
      <c r="C3" s="980"/>
      <c r="D3" s="981" t="s">
        <v>230</v>
      </c>
    </row>
    <row r="4" s="967" customFormat="1" ht="16.5" spans="1:4">
      <c r="A4" s="978"/>
      <c r="B4" s="982" t="s">
        <v>231</v>
      </c>
      <c r="C4" s="980"/>
      <c r="D4" s="981"/>
    </row>
    <row r="5" s="967" customFormat="1" ht="16.5" spans="1:4">
      <c r="A5" s="978"/>
      <c r="B5" s="982" t="s">
        <v>232</v>
      </c>
      <c r="C5" s="980"/>
      <c r="D5" s="981"/>
    </row>
    <row r="6" s="967" customFormat="1" ht="16.5" spans="1:4">
      <c r="A6" s="978"/>
      <c r="B6" s="982" t="s">
        <v>233</v>
      </c>
      <c r="C6" s="980"/>
      <c r="D6" s="981"/>
    </row>
    <row r="7" s="967" customFormat="1" ht="16.5" spans="1:4">
      <c r="A7" s="978"/>
      <c r="B7" s="982" t="s">
        <v>234</v>
      </c>
      <c r="C7" s="980"/>
      <c r="D7" s="981"/>
    </row>
    <row r="8" s="967" customFormat="1" ht="16.5" spans="1:4">
      <c r="A8" s="978"/>
      <c r="B8" s="982" t="s">
        <v>235</v>
      </c>
      <c r="C8" s="980"/>
      <c r="D8" s="981"/>
    </row>
    <row r="9" s="967" customFormat="1" ht="16.5" spans="1:4">
      <c r="A9" s="978"/>
      <c r="B9" s="979" t="s">
        <v>236</v>
      </c>
      <c r="C9" s="980"/>
      <c r="D9" s="983"/>
    </row>
    <row r="10" s="967" customFormat="1" ht="16.5" spans="1:4">
      <c r="A10" s="978"/>
      <c r="B10" s="984" t="s">
        <v>237</v>
      </c>
      <c r="C10" s="985">
        <f>SUM(C3:C9)</f>
        <v>0</v>
      </c>
      <c r="D10" s="978" t="s">
        <v>238</v>
      </c>
    </row>
    <row r="11" s="967" customFormat="1" ht="16.5" spans="1:4">
      <c r="A11" s="978">
        <v>2</v>
      </c>
      <c r="B11" s="986" t="s">
        <v>239</v>
      </c>
      <c r="C11" s="980">
        <v>50000</v>
      </c>
      <c r="D11" s="987">
        <v>0.17</v>
      </c>
    </row>
    <row r="12" s="967" customFormat="1" ht="16.5" spans="1:4">
      <c r="A12" s="978"/>
      <c r="B12" s="986" t="s">
        <v>240</v>
      </c>
      <c r="C12" s="980"/>
      <c r="D12" s="987">
        <v>0.13</v>
      </c>
    </row>
    <row r="13" s="967" customFormat="1" ht="16.5" spans="1:4">
      <c r="A13" s="978"/>
      <c r="B13" s="986" t="s">
        <v>241</v>
      </c>
      <c r="C13" s="980"/>
      <c r="D13" s="987">
        <v>0.06</v>
      </c>
    </row>
    <row r="14" s="967" customFormat="1" ht="16.5" spans="1:4">
      <c r="A14" s="978"/>
      <c r="B14" s="986" t="s">
        <v>242</v>
      </c>
      <c r="C14" s="980"/>
      <c r="D14" s="987">
        <v>0.04</v>
      </c>
    </row>
    <row r="15" s="967" customFormat="1" ht="16.5" spans="1:5">
      <c r="A15" s="978"/>
      <c r="B15" s="986" t="s">
        <v>243</v>
      </c>
      <c r="C15" s="980"/>
      <c r="D15" s="988"/>
      <c r="E15" s="978" t="s">
        <v>244</v>
      </c>
    </row>
    <row r="16" s="967" customFormat="1" ht="16.5" spans="1:5">
      <c r="A16" s="978"/>
      <c r="B16" s="986" t="s">
        <v>245</v>
      </c>
      <c r="C16" s="980"/>
      <c r="D16" s="988"/>
      <c r="E16" s="978" t="s">
        <v>246</v>
      </c>
    </row>
    <row r="17" s="967" customFormat="1" ht="16.5" spans="1:5">
      <c r="A17" s="978"/>
      <c r="B17" s="989" t="s">
        <v>247</v>
      </c>
      <c r="C17" s="990">
        <f>C11*D11+C12*D12+C13*D13+C14*D14+C16</f>
        <v>8500</v>
      </c>
      <c r="D17" s="988"/>
      <c r="E17" s="991" t="str">
        <f>IF(SUM(C11:C15)=利润表!B7," ","营业收入合计与利润表不符！")</f>
        <v>营业收入合计与利润表不符！</v>
      </c>
    </row>
    <row r="18" s="967" customFormat="1" ht="16.5" spans="1:4">
      <c r="A18" s="978"/>
      <c r="B18" s="986" t="s">
        <v>248</v>
      </c>
      <c r="C18" s="980"/>
      <c r="D18" s="987">
        <v>0.17</v>
      </c>
    </row>
    <row r="19" s="967" customFormat="1" ht="16.5" spans="1:4">
      <c r="A19" s="978"/>
      <c r="B19" s="986" t="s">
        <v>249</v>
      </c>
      <c r="C19" s="980"/>
      <c r="D19" s="987">
        <v>0.13</v>
      </c>
    </row>
    <row r="20" s="967" customFormat="1" ht="16.5" spans="1:4">
      <c r="A20" s="978"/>
      <c r="B20" s="986" t="s">
        <v>250</v>
      </c>
      <c r="C20" s="980"/>
      <c r="D20" s="992"/>
    </row>
    <row r="21" s="967" customFormat="1" ht="16.5" spans="1:4">
      <c r="A21" s="978"/>
      <c r="B21" s="986" t="s">
        <v>251</v>
      </c>
      <c r="C21" s="980"/>
      <c r="D21" s="987"/>
    </row>
    <row r="22" s="967" customFormat="1" ht="16.5" spans="1:5">
      <c r="A22" s="978"/>
      <c r="B22" s="986" t="s">
        <v>252</v>
      </c>
      <c r="C22" s="993"/>
      <c r="D22" s="987">
        <v>0.07</v>
      </c>
      <c r="E22" s="994" t="str">
        <f>IF(C22*0.93+SUM(C18:C21)=利润表!B8," ","营业成本合计与利润表不符！")</f>
        <v>营业成本合计与利润表不符！</v>
      </c>
    </row>
    <row r="23" s="967" customFormat="1" ht="16.5" spans="1:5">
      <c r="A23" s="978"/>
      <c r="B23" s="986" t="s">
        <v>253</v>
      </c>
      <c r="C23" s="980"/>
      <c r="D23" s="995"/>
      <c r="E23" s="978" t="s">
        <v>254</v>
      </c>
    </row>
    <row r="24" s="967" customFormat="1" ht="16.5" spans="1:5">
      <c r="A24" s="978"/>
      <c r="B24" s="986" t="s">
        <v>255</v>
      </c>
      <c r="C24" s="980"/>
      <c r="D24" s="987">
        <v>0.17</v>
      </c>
      <c r="E24" s="996"/>
    </row>
    <row r="25" s="967" customFormat="1" ht="16.5" spans="1:5">
      <c r="A25" s="978"/>
      <c r="B25" s="986" t="s">
        <v>256</v>
      </c>
      <c r="C25" s="980"/>
      <c r="D25" s="987">
        <v>0.13</v>
      </c>
      <c r="E25" s="996"/>
    </row>
    <row r="26" s="967" customFormat="1" ht="16.5" spans="1:5">
      <c r="A26" s="978"/>
      <c r="B26" s="986" t="s">
        <v>257</v>
      </c>
      <c r="C26" s="980"/>
      <c r="D26" s="987"/>
      <c r="E26" s="996"/>
    </row>
    <row r="27" s="967" customFormat="1" ht="16.5" spans="1:5">
      <c r="A27" s="978"/>
      <c r="B27" s="986" t="s">
        <v>258</v>
      </c>
      <c r="C27" s="980"/>
      <c r="D27" s="987"/>
      <c r="E27" s="997" t="str">
        <f>IF(SUM(C24:C27)=资产负债表!B14-资产负债表!C14," ","存货增加额与资产负债表不符！")</f>
        <v>存货增加额与资产负债表不符！</v>
      </c>
    </row>
    <row r="28" s="967" customFormat="1" ht="16.5" spans="1:4">
      <c r="A28" s="978"/>
      <c r="B28" s="989" t="s">
        <v>259</v>
      </c>
      <c r="C28" s="998">
        <f>C18*D18+C19*D19+C24*D24+C25*D25+C22*D22+C23</f>
        <v>0</v>
      </c>
      <c r="D28" s="999"/>
    </row>
    <row r="29" s="967" customFormat="1" ht="16.5" spans="1:4">
      <c r="A29" s="978"/>
      <c r="B29" s="979" t="s">
        <v>260</v>
      </c>
      <c r="C29" s="990">
        <f>C17-C28</f>
        <v>8500</v>
      </c>
      <c r="D29" s="999"/>
    </row>
    <row r="30" s="967" customFormat="1" ht="16.5" spans="1:4">
      <c r="A30" s="978"/>
      <c r="B30" s="979" t="s">
        <v>261</v>
      </c>
      <c r="C30" s="990">
        <f>利润表!B9</f>
        <v>23444</v>
      </c>
      <c r="D30" s="1000"/>
    </row>
    <row r="31" s="967" customFormat="1" ht="16.5" spans="1:4">
      <c r="A31" s="978"/>
      <c r="B31" s="979" t="s">
        <v>262</v>
      </c>
      <c r="C31" s="990">
        <f>IF(利润表!B21&gt;=0,利润表!B21*D31,0)</f>
        <v>39723.25</v>
      </c>
      <c r="D31" s="987">
        <v>0.25</v>
      </c>
    </row>
    <row r="32" s="967" customFormat="1" ht="16.5" spans="1:4">
      <c r="A32" s="978"/>
      <c r="B32" s="979" t="s">
        <v>263</v>
      </c>
      <c r="C32" s="1001"/>
      <c r="D32" s="1002"/>
    </row>
    <row r="33" s="967" customFormat="1" ht="16.5" spans="1:4">
      <c r="A33" s="978"/>
      <c r="B33" s="979" t="s">
        <v>264</v>
      </c>
      <c r="C33" s="1001"/>
      <c r="D33" s="1002"/>
    </row>
    <row r="34" s="967" customFormat="1" ht="16.5" spans="1:4">
      <c r="A34" s="978"/>
      <c r="B34" s="984" t="s">
        <v>265</v>
      </c>
      <c r="C34" s="1003">
        <f>(C29+C30+C31+C32+C33)-(资产负债表!E12-资产负债表!F12)</f>
        <v>71465.25</v>
      </c>
      <c r="D34" s="1002"/>
    </row>
    <row r="35" s="967" customFormat="1" ht="16.5" spans="1:4">
      <c r="A35" s="978">
        <v>3</v>
      </c>
      <c r="B35" s="1004" t="s">
        <v>266</v>
      </c>
      <c r="C35" s="1003">
        <f>SUM(C36:C40)</f>
        <v>0</v>
      </c>
      <c r="D35" s="1002"/>
    </row>
    <row r="36" s="967" customFormat="1" ht="16.5" spans="1:4">
      <c r="A36" s="978"/>
      <c r="B36" s="1005" t="s">
        <v>267</v>
      </c>
      <c r="C36" s="1001"/>
      <c r="D36" s="1002"/>
    </row>
    <row r="37" s="967" customFormat="1" ht="16.5" spans="1:4">
      <c r="A37" s="978"/>
      <c r="B37" s="1005" t="s">
        <v>268</v>
      </c>
      <c r="C37" s="1001"/>
      <c r="D37" s="1002"/>
    </row>
    <row r="38" s="967" customFormat="1" ht="16.5" spans="1:4">
      <c r="A38" s="978"/>
      <c r="B38" s="1005" t="s">
        <v>269</v>
      </c>
      <c r="C38" s="1001"/>
      <c r="D38" s="1002"/>
    </row>
    <row r="39" s="967" customFormat="1" ht="16.5" spans="1:4">
      <c r="A39" s="978"/>
      <c r="B39" s="1005" t="s">
        <v>270</v>
      </c>
      <c r="C39" s="1006"/>
      <c r="D39" s="1002"/>
    </row>
    <row r="40" s="967" customFormat="1" ht="16.5" spans="1:4">
      <c r="A40" s="978"/>
      <c r="B40" s="1005" t="s">
        <v>271</v>
      </c>
      <c r="C40" s="1001"/>
      <c r="D40" s="1002"/>
    </row>
    <row r="41" s="967" customFormat="1" ht="16.5" spans="1:4">
      <c r="A41" s="978">
        <v>4</v>
      </c>
      <c r="B41" s="1007" t="s">
        <v>272</v>
      </c>
      <c r="C41" s="1003">
        <f>C42+C43+C46</f>
        <v>0</v>
      </c>
      <c r="D41" s="1002"/>
    </row>
    <row r="42" s="967" customFormat="1" ht="16.5" spans="1:4">
      <c r="A42" s="978"/>
      <c r="B42" s="979" t="s">
        <v>273</v>
      </c>
      <c r="C42" s="1001"/>
      <c r="D42" s="1002"/>
    </row>
    <row r="43" s="967" customFormat="1" ht="16.5" spans="1:4">
      <c r="A43" s="978"/>
      <c r="B43" s="979" t="s">
        <v>274</v>
      </c>
      <c r="C43" s="1001"/>
      <c r="D43" s="1002"/>
    </row>
    <row r="44" s="967" customFormat="1" ht="16.5" spans="1:4">
      <c r="A44" s="978"/>
      <c r="B44" s="979" t="s">
        <v>275</v>
      </c>
      <c r="C44" s="1001"/>
      <c r="D44" s="1002"/>
    </row>
    <row r="45" s="967" customFormat="1" ht="16.5" spans="1:4">
      <c r="A45" s="978"/>
      <c r="B45" s="979" t="s">
        <v>276</v>
      </c>
      <c r="C45" s="1001"/>
      <c r="D45" s="1002"/>
    </row>
    <row r="46" s="967" customFormat="1" ht="16.5" spans="1:4">
      <c r="A46" s="978"/>
      <c r="B46" s="979" t="s">
        <v>277</v>
      </c>
      <c r="C46" s="1008">
        <f>C44-C45</f>
        <v>0</v>
      </c>
      <c r="D46" s="1002"/>
    </row>
    <row r="47" s="967" customFormat="1" ht="16.5" spans="1:4">
      <c r="A47" s="978">
        <v>5</v>
      </c>
      <c r="B47" s="1009" t="s">
        <v>278</v>
      </c>
      <c r="C47" s="1010">
        <f>SUM(C48:C55)</f>
        <v>-202.115577889447</v>
      </c>
      <c r="D47" s="1011" t="s">
        <v>279</v>
      </c>
    </row>
    <row r="48" s="967" customFormat="1" ht="16.5" spans="1:4">
      <c r="A48" s="978"/>
      <c r="B48" s="979" t="s">
        <v>280</v>
      </c>
      <c r="C48" s="990">
        <f>(资产负债表!B9+资产负债表!B13-资产负债表!C9-资产负债表!C13)*D48/(1-D48)</f>
        <v>-202.115577889447</v>
      </c>
      <c r="D48" s="1012">
        <v>0.005</v>
      </c>
    </row>
    <row r="49" s="967" customFormat="1" ht="16.5" spans="1:4">
      <c r="A49" s="978"/>
      <c r="B49" s="1013" t="s">
        <v>281</v>
      </c>
      <c r="C49" s="1014"/>
      <c r="D49" s="1012"/>
    </row>
    <row r="50" s="967" customFormat="1" ht="16.5" spans="1:4">
      <c r="A50" s="978"/>
      <c r="B50" s="1013" t="s">
        <v>282</v>
      </c>
      <c r="C50" s="1014"/>
      <c r="D50" s="1012"/>
    </row>
    <row r="51" s="967" customFormat="1" ht="16.5" spans="1:4">
      <c r="A51" s="978"/>
      <c r="B51" s="1013" t="s">
        <v>283</v>
      </c>
      <c r="C51" s="1014"/>
      <c r="D51" s="1012"/>
    </row>
    <row r="52" s="967" customFormat="1" ht="16.5" spans="1:4">
      <c r="A52" s="978"/>
      <c r="B52" s="1013" t="s">
        <v>284</v>
      </c>
      <c r="C52" s="1015"/>
      <c r="D52" s="1012"/>
    </row>
    <row r="53" s="967" customFormat="1" ht="16.5" spans="1:4">
      <c r="A53" s="978"/>
      <c r="B53" s="1013" t="s">
        <v>285</v>
      </c>
      <c r="C53" s="1014"/>
      <c r="D53" s="1012"/>
    </row>
    <row r="54" s="967" customFormat="1" ht="16.5" spans="1:4">
      <c r="A54" s="978"/>
      <c r="B54" s="1013" t="s">
        <v>286</v>
      </c>
      <c r="C54" s="1014"/>
      <c r="D54" s="1012"/>
    </row>
    <row r="55" s="967" customFormat="1" ht="16.5" spans="1:4">
      <c r="A55" s="978"/>
      <c r="B55" s="1013" t="s">
        <v>287</v>
      </c>
      <c r="C55" s="1014"/>
      <c r="D55" s="1012"/>
    </row>
    <row r="56" s="967" customFormat="1" ht="16.5" spans="1:4">
      <c r="A56" s="978">
        <v>6</v>
      </c>
      <c r="B56" s="1016" t="s">
        <v>288</v>
      </c>
      <c r="C56" s="1001"/>
      <c r="D56" s="1002"/>
    </row>
    <row r="57" s="967" customFormat="1" ht="16.5" spans="1:4">
      <c r="A57" s="978">
        <v>7</v>
      </c>
      <c r="B57" s="1016" t="s">
        <v>289</v>
      </c>
      <c r="C57" s="1001"/>
      <c r="D57" s="1002"/>
    </row>
    <row r="58" s="967" customFormat="1" ht="16.5" spans="1:4">
      <c r="A58" s="978">
        <v>8</v>
      </c>
      <c r="B58" s="1016" t="s">
        <v>290</v>
      </c>
      <c r="C58" s="1001"/>
      <c r="D58" s="1002"/>
    </row>
    <row r="59" s="967" customFormat="1" ht="16.5" spans="1:4">
      <c r="A59" s="978">
        <v>9</v>
      </c>
      <c r="B59" s="1016" t="s">
        <v>291</v>
      </c>
      <c r="C59" s="1001"/>
      <c r="D59" s="1002"/>
    </row>
    <row r="60" s="967" customFormat="1" ht="16.5" spans="1:4">
      <c r="A60" s="978">
        <v>10</v>
      </c>
      <c r="B60" s="1016" t="s">
        <v>292</v>
      </c>
      <c r="C60" s="1001"/>
      <c r="D60" s="1002"/>
    </row>
    <row r="61" s="967" customFormat="1" ht="16.5" spans="1:4">
      <c r="A61" s="978">
        <v>11</v>
      </c>
      <c r="B61" s="1016" t="s">
        <v>293</v>
      </c>
      <c r="C61" s="1001"/>
      <c r="D61" s="1002"/>
    </row>
    <row r="62" s="967" customFormat="1" ht="16.5" spans="1:4">
      <c r="A62" s="978">
        <v>12</v>
      </c>
      <c r="B62" s="1016" t="s">
        <v>294</v>
      </c>
      <c r="C62" s="1001"/>
      <c r="D62" s="1002"/>
    </row>
    <row r="63" s="967" customFormat="1" ht="16.5" spans="1:4">
      <c r="A63" s="978">
        <v>13</v>
      </c>
      <c r="B63" s="1016" t="s">
        <v>295</v>
      </c>
      <c r="C63" s="1001"/>
      <c r="D63" s="1002"/>
    </row>
    <row r="64" s="967" customFormat="1" ht="16.5" spans="1:4">
      <c r="A64" s="978">
        <v>14</v>
      </c>
      <c r="B64" s="1016" t="s">
        <v>296</v>
      </c>
      <c r="C64" s="1001"/>
      <c r="D64" s="1002"/>
    </row>
    <row r="65" s="967" customFormat="1" ht="16.5" spans="1:4">
      <c r="A65" s="978">
        <v>15</v>
      </c>
      <c r="B65" s="1016" t="s">
        <v>297</v>
      </c>
      <c r="C65" s="1001"/>
      <c r="D65" s="1017"/>
    </row>
    <row r="66" s="967" customFormat="1" ht="16.5" spans="1:4">
      <c r="A66" s="978">
        <v>16</v>
      </c>
      <c r="B66" s="1016" t="s">
        <v>298</v>
      </c>
      <c r="C66" s="1018"/>
      <c r="D66" s="1017"/>
    </row>
    <row r="67" s="967" customFormat="1" ht="16.5" spans="1:4">
      <c r="A67" s="978">
        <v>17</v>
      </c>
      <c r="B67" s="1016" t="s">
        <v>299</v>
      </c>
      <c r="C67" s="1018"/>
      <c r="D67" s="1017"/>
    </row>
    <row r="68" s="967" customFormat="1" ht="16.5" spans="1:4">
      <c r="A68" s="978">
        <v>18</v>
      </c>
      <c r="B68" s="1016" t="s">
        <v>300</v>
      </c>
      <c r="C68" s="1018"/>
      <c r="D68" s="1017"/>
    </row>
    <row r="69" s="967" customFormat="1" ht="16.5" spans="1:4">
      <c r="A69" s="978">
        <v>19</v>
      </c>
      <c r="B69" s="1016" t="s">
        <v>301</v>
      </c>
      <c r="C69" s="1018"/>
      <c r="D69" s="1017"/>
    </row>
    <row r="70" s="967" customFormat="1" ht="16.5" spans="1:4">
      <c r="A70" s="978">
        <v>20</v>
      </c>
      <c r="B70" s="1016" t="s">
        <v>302</v>
      </c>
      <c r="C70" s="1018"/>
      <c r="D70" s="1017"/>
    </row>
    <row r="71" s="967" customFormat="1" ht="16.5" spans="1:4">
      <c r="A71" s="978">
        <v>21</v>
      </c>
      <c r="B71" s="1016" t="s">
        <v>303</v>
      </c>
      <c r="C71" s="1018"/>
      <c r="D71" s="1017"/>
    </row>
    <row r="72" s="967" customFormat="1" ht="16.5" spans="1:4">
      <c r="A72" s="978">
        <v>22</v>
      </c>
      <c r="B72" s="1016" t="s">
        <v>304</v>
      </c>
      <c r="C72" s="1018"/>
      <c r="D72" s="1017"/>
    </row>
    <row r="73" s="967" customFormat="1" ht="16.5" spans="1:4">
      <c r="A73" s="978">
        <v>23</v>
      </c>
      <c r="B73" s="1016" t="s">
        <v>305</v>
      </c>
      <c r="C73" s="1018"/>
      <c r="D73" s="1017"/>
    </row>
    <row r="74" s="967" customFormat="1" ht="16.5" spans="1:4">
      <c r="A74" s="978">
        <v>24</v>
      </c>
      <c r="B74" s="1016" t="s">
        <v>306</v>
      </c>
      <c r="C74" s="1018"/>
      <c r="D74" s="1017"/>
    </row>
    <row r="75" s="967" customFormat="1" ht="16.5" spans="1:4">
      <c r="A75" s="978">
        <v>25</v>
      </c>
      <c r="B75" s="1016" t="s">
        <v>307</v>
      </c>
      <c r="C75" s="1018"/>
      <c r="D75" s="1017"/>
    </row>
    <row r="76" s="967" customFormat="1" ht="16.5" spans="1:4">
      <c r="A76" s="978">
        <v>26</v>
      </c>
      <c r="B76" s="1016" t="s">
        <v>308</v>
      </c>
      <c r="C76" s="1018"/>
      <c r="D76" s="1017"/>
    </row>
    <row r="77" spans="1:1">
      <c r="A77" s="1019"/>
    </row>
  </sheetData>
  <mergeCells count="2">
    <mergeCell ref="A1:E1"/>
    <mergeCell ref="D3:D9"/>
  </mergeCells>
  <conditionalFormatting sqref="E17">
    <cfRule type="cellIs" dxfId="0" priority="1" stopIfTrue="1" operator="equal">
      <formula>"主营业务收入合计与利润表不符！"</formula>
    </cfRule>
  </conditionalFormatting>
  <conditionalFormatting sqref="E27">
    <cfRule type="cellIs" dxfId="1" priority="2" stopIfTrue="1" operator="equal">
      <formula>"存货增加额与资产负债表不符！"</formula>
    </cfRule>
  </conditionalFormatting>
  <conditionalFormatting sqref="E22:E23">
    <cfRule type="cellIs" dxfId="1" priority="3" stopIfTrue="1" operator="equal">
      <formula>"主营业务成本合计与利润表不符！"</formula>
    </cfRule>
  </conditionalFormatting>
  <printOptions horizontalCentered="1"/>
  <pageMargins left="0.388888888888889" right="0.388888888888889" top="0.388888888888889" bottom="0.2" header="0.509027777777778" footer="0.509027777777778"/>
  <pageSetup paperSize="9" scale="70" orientation="portrait" blackAndWhite="1" horizontalDpi="180"/>
  <headerFooter alignWithMargins="0" scaleWithDoc="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IV75"/>
  <sheetViews>
    <sheetView showGridLines="0" zoomScale="90" zoomScaleNormal="90" workbookViewId="0">
      <selection activeCell="C10" sqref="C10"/>
    </sheetView>
  </sheetViews>
  <sheetFormatPr defaultColWidth="8" defaultRowHeight="17.25"/>
  <cols>
    <col min="1" max="1" width="49" style="925" customWidth="1"/>
    <col min="2" max="3" width="19.25" style="925" customWidth="1"/>
    <col min="4" max="4" width="5.75" style="926" customWidth="1"/>
    <col min="5" max="7" width="8.625" style="926" customWidth="1"/>
    <col min="8" max="8" width="51.875" style="926" customWidth="1"/>
    <col min="9" max="255" width="8" style="925" customWidth="1"/>
    <col min="256" max="256" width="8" style="331"/>
  </cols>
  <sheetData>
    <row r="1" s="923" customFormat="1" ht="29.25" spans="1:256">
      <c r="A1" s="927" t="s">
        <v>309</v>
      </c>
      <c r="B1" s="927"/>
      <c r="C1" s="927"/>
      <c r="D1" s="928" t="s">
        <v>310</v>
      </c>
      <c r="E1" s="928"/>
      <c r="F1" s="928"/>
      <c r="G1" s="928"/>
      <c r="H1" s="928"/>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5"/>
      <c r="AZ1" s="925"/>
      <c r="BA1" s="925"/>
      <c r="BB1" s="925"/>
      <c r="BC1" s="925"/>
      <c r="BD1" s="925"/>
      <c r="BE1" s="925"/>
      <c r="BF1" s="925"/>
      <c r="BG1" s="925"/>
      <c r="BH1" s="925"/>
      <c r="BI1" s="925"/>
      <c r="BJ1" s="925"/>
      <c r="BK1" s="925"/>
      <c r="BL1" s="925"/>
      <c r="BM1" s="925"/>
      <c r="BN1" s="925"/>
      <c r="BO1" s="925"/>
      <c r="BP1" s="925"/>
      <c r="BQ1" s="925"/>
      <c r="BR1" s="925"/>
      <c r="BS1" s="925"/>
      <c r="BT1" s="925"/>
      <c r="BU1" s="925"/>
      <c r="BV1" s="925"/>
      <c r="BW1" s="925"/>
      <c r="BX1" s="925"/>
      <c r="BY1" s="925"/>
      <c r="BZ1" s="925"/>
      <c r="CA1" s="925"/>
      <c r="CB1" s="925"/>
      <c r="CC1" s="925"/>
      <c r="CD1" s="925"/>
      <c r="CE1" s="925"/>
      <c r="CF1" s="925"/>
      <c r="CG1" s="925"/>
      <c r="CH1" s="925"/>
      <c r="CI1" s="925"/>
      <c r="CJ1" s="925"/>
      <c r="CK1" s="925"/>
      <c r="CL1" s="925"/>
      <c r="CM1" s="925"/>
      <c r="CN1" s="925"/>
      <c r="CO1" s="925"/>
      <c r="CP1" s="925"/>
      <c r="CQ1" s="925"/>
      <c r="CR1" s="925"/>
      <c r="CS1" s="925"/>
      <c r="CT1" s="925"/>
      <c r="CU1" s="925"/>
      <c r="CV1" s="925"/>
      <c r="CW1" s="925"/>
      <c r="CX1" s="925"/>
      <c r="CY1" s="925"/>
      <c r="CZ1" s="925"/>
      <c r="DA1" s="925"/>
      <c r="DB1" s="925"/>
      <c r="DC1" s="925"/>
      <c r="DD1" s="925"/>
      <c r="DE1" s="925"/>
      <c r="DF1" s="925"/>
      <c r="DG1" s="925"/>
      <c r="DH1" s="925"/>
      <c r="DI1" s="925"/>
      <c r="DJ1" s="925"/>
      <c r="DK1" s="925"/>
      <c r="DL1" s="925"/>
      <c r="DM1" s="925"/>
      <c r="DN1" s="925"/>
      <c r="DO1" s="925"/>
      <c r="DP1" s="925"/>
      <c r="DQ1" s="925"/>
      <c r="DR1" s="925"/>
      <c r="DS1" s="925"/>
      <c r="DT1" s="925"/>
      <c r="DU1" s="925"/>
      <c r="DV1" s="925"/>
      <c r="DW1" s="925"/>
      <c r="DX1" s="925"/>
      <c r="DY1" s="925"/>
      <c r="DZ1" s="925"/>
      <c r="EA1" s="925"/>
      <c r="EB1" s="925"/>
      <c r="EC1" s="925"/>
      <c r="ED1" s="925"/>
      <c r="EE1" s="925"/>
      <c r="EF1" s="925"/>
      <c r="EG1" s="925"/>
      <c r="EH1" s="925"/>
      <c r="EI1" s="925"/>
      <c r="EJ1" s="925"/>
      <c r="EK1" s="925"/>
      <c r="EL1" s="925"/>
      <c r="EM1" s="925"/>
      <c r="EN1" s="925"/>
      <c r="EO1" s="925"/>
      <c r="EP1" s="925"/>
      <c r="EQ1" s="925"/>
      <c r="ER1" s="925"/>
      <c r="ES1" s="925"/>
      <c r="ET1" s="925"/>
      <c r="EU1" s="925"/>
      <c r="EV1" s="925"/>
      <c r="EW1" s="925"/>
      <c r="EX1" s="925"/>
      <c r="EY1" s="925"/>
      <c r="EZ1" s="925"/>
      <c r="FA1" s="925"/>
      <c r="FB1" s="925"/>
      <c r="FC1" s="925"/>
      <c r="FD1" s="925"/>
      <c r="FE1" s="925"/>
      <c r="FF1" s="925"/>
      <c r="FG1" s="925"/>
      <c r="FH1" s="925"/>
      <c r="FI1" s="925"/>
      <c r="FJ1" s="925"/>
      <c r="FK1" s="925"/>
      <c r="FL1" s="925"/>
      <c r="FM1" s="925"/>
      <c r="FN1" s="925"/>
      <c r="FO1" s="925"/>
      <c r="FP1" s="925"/>
      <c r="FQ1" s="925"/>
      <c r="FR1" s="925"/>
      <c r="FS1" s="925"/>
      <c r="FT1" s="925"/>
      <c r="FU1" s="925"/>
      <c r="FV1" s="925"/>
      <c r="FW1" s="925"/>
      <c r="FX1" s="925"/>
      <c r="FY1" s="925"/>
      <c r="FZ1" s="925"/>
      <c r="GA1" s="925"/>
      <c r="GB1" s="925"/>
      <c r="GC1" s="925"/>
      <c r="GD1" s="925"/>
      <c r="GE1" s="925"/>
      <c r="GF1" s="925"/>
      <c r="GG1" s="925"/>
      <c r="GH1" s="925"/>
      <c r="GI1" s="925"/>
      <c r="GJ1" s="925"/>
      <c r="GK1" s="925"/>
      <c r="GL1" s="925"/>
      <c r="GM1" s="925"/>
      <c r="GN1" s="925"/>
      <c r="GO1" s="925"/>
      <c r="GP1" s="925"/>
      <c r="GQ1" s="925"/>
      <c r="GR1" s="925"/>
      <c r="GS1" s="925"/>
      <c r="GT1" s="925"/>
      <c r="GU1" s="925"/>
      <c r="GV1" s="925"/>
      <c r="GW1" s="925"/>
      <c r="GX1" s="925"/>
      <c r="GY1" s="925"/>
      <c r="GZ1" s="925"/>
      <c r="HA1" s="925"/>
      <c r="HB1" s="925"/>
      <c r="HC1" s="925"/>
      <c r="HD1" s="925"/>
      <c r="HE1" s="925"/>
      <c r="HF1" s="925"/>
      <c r="HG1" s="925"/>
      <c r="HH1" s="925"/>
      <c r="HI1" s="925"/>
      <c r="HJ1" s="925"/>
      <c r="HK1" s="925"/>
      <c r="HL1" s="925"/>
      <c r="HM1" s="925"/>
      <c r="HN1" s="925"/>
      <c r="HO1" s="925"/>
      <c r="HP1" s="925"/>
      <c r="HQ1" s="925"/>
      <c r="HR1" s="925"/>
      <c r="HS1" s="925"/>
      <c r="HT1" s="925"/>
      <c r="HU1" s="925"/>
      <c r="HV1" s="925"/>
      <c r="HW1" s="925"/>
      <c r="HX1" s="925"/>
      <c r="HY1" s="925"/>
      <c r="HZ1" s="925"/>
      <c r="IA1" s="925"/>
      <c r="IB1" s="925"/>
      <c r="IC1" s="925"/>
      <c r="ID1" s="925"/>
      <c r="IE1" s="925"/>
      <c r="IF1" s="925"/>
      <c r="IG1" s="925"/>
      <c r="IH1" s="925"/>
      <c r="II1" s="925"/>
      <c r="IJ1" s="925"/>
      <c r="IK1" s="925"/>
      <c r="IL1" s="925"/>
      <c r="IM1" s="925"/>
      <c r="IN1" s="925"/>
      <c r="IO1" s="925"/>
      <c r="IP1" s="925"/>
      <c r="IQ1" s="925"/>
      <c r="IR1" s="925"/>
      <c r="IS1" s="925"/>
      <c r="IT1" s="925"/>
      <c r="IU1" s="925"/>
      <c r="IV1" s="331"/>
    </row>
    <row r="2" s="923" customFormat="1" ht="16.5" spans="1:256">
      <c r="A2" s="929"/>
      <c r="B2" s="930" t="str">
        <f>利润表!B4</f>
        <v>本 年 金 额</v>
      </c>
      <c r="C2" s="931" t="str">
        <f>利润表!C4</f>
        <v>上 年 金 额</v>
      </c>
      <c r="D2" s="932"/>
      <c r="E2" s="932"/>
      <c r="F2" s="932"/>
      <c r="G2" s="932"/>
      <c r="H2" s="932"/>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5"/>
      <c r="AK2" s="925"/>
      <c r="AL2" s="925"/>
      <c r="AM2" s="925"/>
      <c r="AN2" s="925"/>
      <c r="AO2" s="925"/>
      <c r="AP2" s="925"/>
      <c r="AQ2" s="925"/>
      <c r="AR2" s="925"/>
      <c r="AS2" s="925"/>
      <c r="AT2" s="925"/>
      <c r="AU2" s="925"/>
      <c r="AV2" s="925"/>
      <c r="AW2" s="925"/>
      <c r="AX2" s="925"/>
      <c r="AY2" s="925"/>
      <c r="AZ2" s="925"/>
      <c r="BA2" s="925"/>
      <c r="BB2" s="925"/>
      <c r="BC2" s="925"/>
      <c r="BD2" s="925"/>
      <c r="BE2" s="925"/>
      <c r="BF2" s="925"/>
      <c r="BG2" s="925"/>
      <c r="BH2" s="925"/>
      <c r="BI2" s="925"/>
      <c r="BJ2" s="925"/>
      <c r="BK2" s="925"/>
      <c r="BL2" s="925"/>
      <c r="BM2" s="925"/>
      <c r="BN2" s="925"/>
      <c r="BO2" s="925"/>
      <c r="BP2" s="925"/>
      <c r="BQ2" s="925"/>
      <c r="BR2" s="925"/>
      <c r="BS2" s="925"/>
      <c r="BT2" s="925"/>
      <c r="BU2" s="925"/>
      <c r="BV2" s="925"/>
      <c r="BW2" s="925"/>
      <c r="BX2" s="925"/>
      <c r="BY2" s="925"/>
      <c r="BZ2" s="925"/>
      <c r="CA2" s="925"/>
      <c r="CB2" s="925"/>
      <c r="CC2" s="925"/>
      <c r="CD2" s="925"/>
      <c r="CE2" s="925"/>
      <c r="CF2" s="925"/>
      <c r="CG2" s="925"/>
      <c r="CH2" s="925"/>
      <c r="CI2" s="925"/>
      <c r="CJ2" s="925"/>
      <c r="CK2" s="925"/>
      <c r="CL2" s="925"/>
      <c r="CM2" s="925"/>
      <c r="CN2" s="925"/>
      <c r="CO2" s="925"/>
      <c r="CP2" s="925"/>
      <c r="CQ2" s="925"/>
      <c r="CR2" s="925"/>
      <c r="CS2" s="925"/>
      <c r="CT2" s="925"/>
      <c r="CU2" s="925"/>
      <c r="CV2" s="925"/>
      <c r="CW2" s="925"/>
      <c r="CX2" s="925"/>
      <c r="CY2" s="925"/>
      <c r="CZ2" s="925"/>
      <c r="DA2" s="925"/>
      <c r="DB2" s="925"/>
      <c r="DC2" s="925"/>
      <c r="DD2" s="925"/>
      <c r="DE2" s="925"/>
      <c r="DF2" s="925"/>
      <c r="DG2" s="925"/>
      <c r="DH2" s="925"/>
      <c r="DI2" s="925"/>
      <c r="DJ2" s="925"/>
      <c r="DK2" s="925"/>
      <c r="DL2" s="925"/>
      <c r="DM2" s="925"/>
      <c r="DN2" s="925"/>
      <c r="DO2" s="925"/>
      <c r="DP2" s="925"/>
      <c r="DQ2" s="925"/>
      <c r="DR2" s="925"/>
      <c r="DS2" s="925"/>
      <c r="DT2" s="925"/>
      <c r="DU2" s="925"/>
      <c r="DV2" s="925"/>
      <c r="DW2" s="925"/>
      <c r="DX2" s="925"/>
      <c r="DY2" s="925"/>
      <c r="DZ2" s="925"/>
      <c r="EA2" s="925"/>
      <c r="EB2" s="925"/>
      <c r="EC2" s="925"/>
      <c r="ED2" s="925"/>
      <c r="EE2" s="925"/>
      <c r="EF2" s="925"/>
      <c r="EG2" s="925"/>
      <c r="EH2" s="925"/>
      <c r="EI2" s="925"/>
      <c r="EJ2" s="925"/>
      <c r="EK2" s="925"/>
      <c r="EL2" s="925"/>
      <c r="EM2" s="925"/>
      <c r="EN2" s="925"/>
      <c r="EO2" s="925"/>
      <c r="EP2" s="925"/>
      <c r="EQ2" s="925"/>
      <c r="ER2" s="925"/>
      <c r="ES2" s="925"/>
      <c r="ET2" s="925"/>
      <c r="EU2" s="925"/>
      <c r="EV2" s="925"/>
      <c r="EW2" s="925"/>
      <c r="EX2" s="925"/>
      <c r="EY2" s="925"/>
      <c r="EZ2" s="925"/>
      <c r="FA2" s="925"/>
      <c r="FB2" s="925"/>
      <c r="FC2" s="925"/>
      <c r="FD2" s="925"/>
      <c r="FE2" s="925"/>
      <c r="FF2" s="925"/>
      <c r="FG2" s="925"/>
      <c r="FH2" s="925"/>
      <c r="FI2" s="925"/>
      <c r="FJ2" s="925"/>
      <c r="FK2" s="925"/>
      <c r="FL2" s="925"/>
      <c r="FM2" s="925"/>
      <c r="FN2" s="925"/>
      <c r="FO2" s="925"/>
      <c r="FP2" s="925"/>
      <c r="FQ2" s="925"/>
      <c r="FR2" s="925"/>
      <c r="FS2" s="925"/>
      <c r="FT2" s="925"/>
      <c r="FU2" s="925"/>
      <c r="FV2" s="925"/>
      <c r="FW2" s="925"/>
      <c r="FX2" s="925"/>
      <c r="FY2" s="925"/>
      <c r="FZ2" s="925"/>
      <c r="GA2" s="925"/>
      <c r="GB2" s="925"/>
      <c r="GC2" s="925"/>
      <c r="GD2" s="925"/>
      <c r="GE2" s="925"/>
      <c r="GF2" s="925"/>
      <c r="GG2" s="925"/>
      <c r="GH2" s="925"/>
      <c r="GI2" s="925"/>
      <c r="GJ2" s="925"/>
      <c r="GK2" s="925"/>
      <c r="GL2" s="925"/>
      <c r="GM2" s="925"/>
      <c r="GN2" s="925"/>
      <c r="GO2" s="925"/>
      <c r="GP2" s="925"/>
      <c r="GQ2" s="925"/>
      <c r="GR2" s="925"/>
      <c r="GS2" s="925"/>
      <c r="GT2" s="925"/>
      <c r="GU2" s="925"/>
      <c r="GV2" s="925"/>
      <c r="GW2" s="925"/>
      <c r="GX2" s="925"/>
      <c r="GY2" s="925"/>
      <c r="GZ2" s="925"/>
      <c r="HA2" s="925"/>
      <c r="HB2" s="925"/>
      <c r="HC2" s="925"/>
      <c r="HD2" s="925"/>
      <c r="HE2" s="925"/>
      <c r="HF2" s="925"/>
      <c r="HG2" s="925"/>
      <c r="HH2" s="925"/>
      <c r="HI2" s="925"/>
      <c r="HJ2" s="925"/>
      <c r="HK2" s="925"/>
      <c r="HL2" s="925"/>
      <c r="HM2" s="925"/>
      <c r="HN2" s="925"/>
      <c r="HO2" s="925"/>
      <c r="HP2" s="925"/>
      <c r="HQ2" s="925"/>
      <c r="HR2" s="925"/>
      <c r="HS2" s="925"/>
      <c r="HT2" s="925"/>
      <c r="HU2" s="925"/>
      <c r="HV2" s="925"/>
      <c r="HW2" s="925"/>
      <c r="HX2" s="925"/>
      <c r="HY2" s="925"/>
      <c r="HZ2" s="925"/>
      <c r="IA2" s="925"/>
      <c r="IB2" s="925"/>
      <c r="IC2" s="925"/>
      <c r="ID2" s="925"/>
      <c r="IE2" s="925"/>
      <c r="IF2" s="925"/>
      <c r="IG2" s="925"/>
      <c r="IH2" s="925"/>
      <c r="II2" s="925"/>
      <c r="IJ2" s="925"/>
      <c r="IK2" s="925"/>
      <c r="IL2" s="925"/>
      <c r="IM2" s="925"/>
      <c r="IN2" s="925"/>
      <c r="IO2" s="925"/>
      <c r="IP2" s="925"/>
      <c r="IQ2" s="925"/>
      <c r="IR2" s="925"/>
      <c r="IS2" s="925"/>
      <c r="IT2" s="925"/>
      <c r="IU2" s="925"/>
      <c r="IV2" s="925"/>
    </row>
    <row r="3" s="924" customFormat="1" ht="17.1" customHeight="1" spans="1:256">
      <c r="A3" s="933" t="s">
        <v>168</v>
      </c>
      <c r="B3" s="933" t="s">
        <v>169</v>
      </c>
      <c r="C3" s="933" t="s">
        <v>170</v>
      </c>
      <c r="D3" s="934" t="s">
        <v>26</v>
      </c>
      <c r="E3" s="934" t="s">
        <v>311</v>
      </c>
      <c r="F3" s="934"/>
      <c r="G3" s="934"/>
      <c r="H3" s="934" t="s">
        <v>312</v>
      </c>
      <c r="I3" s="926"/>
      <c r="J3" s="926"/>
      <c r="K3" s="926"/>
      <c r="L3" s="926"/>
      <c r="M3" s="926"/>
      <c r="N3" s="926"/>
      <c r="O3" s="926"/>
      <c r="P3" s="926"/>
      <c r="Q3" s="926"/>
      <c r="R3" s="926"/>
      <c r="S3" s="926"/>
      <c r="T3" s="926"/>
      <c r="U3" s="926"/>
      <c r="V3" s="926"/>
      <c r="W3" s="926"/>
      <c r="X3" s="926"/>
      <c r="Y3" s="926"/>
      <c r="Z3" s="926"/>
      <c r="AA3" s="926"/>
      <c r="AB3" s="926"/>
      <c r="AC3" s="926"/>
      <c r="AD3" s="926"/>
      <c r="AE3" s="926"/>
      <c r="AF3" s="926"/>
      <c r="AG3" s="926"/>
      <c r="AH3" s="926"/>
      <c r="AI3" s="926"/>
      <c r="AJ3" s="926"/>
      <c r="AK3" s="926"/>
      <c r="AL3" s="926"/>
      <c r="AM3" s="926"/>
      <c r="AN3" s="926"/>
      <c r="AO3" s="926"/>
      <c r="AP3" s="926"/>
      <c r="AQ3" s="926"/>
      <c r="AR3" s="926"/>
      <c r="AS3" s="926"/>
      <c r="AT3" s="926"/>
      <c r="AU3" s="926"/>
      <c r="AV3" s="926"/>
      <c r="AW3" s="926"/>
      <c r="AX3" s="926"/>
      <c r="AY3" s="926"/>
      <c r="AZ3" s="926"/>
      <c r="BA3" s="926"/>
      <c r="BB3" s="926"/>
      <c r="BC3" s="926"/>
      <c r="BD3" s="926"/>
      <c r="BE3" s="926"/>
      <c r="BF3" s="926"/>
      <c r="BG3" s="926"/>
      <c r="BH3" s="926"/>
      <c r="BI3" s="926"/>
      <c r="BJ3" s="926"/>
      <c r="BK3" s="926"/>
      <c r="BL3" s="926"/>
      <c r="BM3" s="926"/>
      <c r="BN3" s="926"/>
      <c r="BO3" s="926"/>
      <c r="BP3" s="926"/>
      <c r="BQ3" s="926"/>
      <c r="BR3" s="926"/>
      <c r="BS3" s="926"/>
      <c r="BT3" s="926"/>
      <c r="BU3" s="926"/>
      <c r="BV3" s="926"/>
      <c r="BW3" s="926"/>
      <c r="BX3" s="926"/>
      <c r="BY3" s="926"/>
      <c r="BZ3" s="926"/>
      <c r="CA3" s="926"/>
      <c r="CB3" s="926"/>
      <c r="CC3" s="926"/>
      <c r="CD3" s="926"/>
      <c r="CE3" s="926"/>
      <c r="CF3" s="926"/>
      <c r="CG3" s="926"/>
      <c r="CH3" s="926"/>
      <c r="CI3" s="926"/>
      <c r="CJ3" s="926"/>
      <c r="CK3" s="926"/>
      <c r="CL3" s="926"/>
      <c r="CM3" s="926"/>
      <c r="CN3" s="926"/>
      <c r="CO3" s="926"/>
      <c r="CP3" s="926"/>
      <c r="CQ3" s="926"/>
      <c r="CR3" s="926"/>
      <c r="CS3" s="926"/>
      <c r="CT3" s="926"/>
      <c r="CU3" s="926"/>
      <c r="CV3" s="926"/>
      <c r="CW3" s="926"/>
      <c r="CX3" s="926"/>
      <c r="CY3" s="926"/>
      <c r="CZ3" s="926"/>
      <c r="DA3" s="926"/>
      <c r="DB3" s="926"/>
      <c r="DC3" s="926"/>
      <c r="DD3" s="926"/>
      <c r="DE3" s="926"/>
      <c r="DF3" s="926"/>
      <c r="DG3" s="926"/>
      <c r="DH3" s="926"/>
      <c r="DI3" s="926"/>
      <c r="DJ3" s="926"/>
      <c r="DK3" s="926"/>
      <c r="DL3" s="926"/>
      <c r="DM3" s="926"/>
      <c r="DN3" s="926"/>
      <c r="DO3" s="926"/>
      <c r="DP3" s="926"/>
      <c r="DQ3" s="926"/>
      <c r="DR3" s="926"/>
      <c r="DS3" s="926"/>
      <c r="DT3" s="926"/>
      <c r="DU3" s="926"/>
      <c r="DV3" s="926"/>
      <c r="DW3" s="926"/>
      <c r="DX3" s="926"/>
      <c r="DY3" s="926"/>
      <c r="DZ3" s="926"/>
      <c r="EA3" s="926"/>
      <c r="EB3" s="926"/>
      <c r="EC3" s="926"/>
      <c r="ED3" s="926"/>
      <c r="EE3" s="926"/>
      <c r="EF3" s="926"/>
      <c r="EG3" s="926"/>
      <c r="EH3" s="926"/>
      <c r="EI3" s="926"/>
      <c r="EJ3" s="926"/>
      <c r="EK3" s="926"/>
      <c r="EL3" s="926"/>
      <c r="EM3" s="926"/>
      <c r="EN3" s="926"/>
      <c r="EO3" s="926"/>
      <c r="EP3" s="926"/>
      <c r="EQ3" s="926"/>
      <c r="ER3" s="926"/>
      <c r="ES3" s="926"/>
      <c r="ET3" s="926"/>
      <c r="EU3" s="926"/>
      <c r="EV3" s="926"/>
      <c r="EW3" s="926"/>
      <c r="EX3" s="926"/>
      <c r="EY3" s="926"/>
      <c r="EZ3" s="926"/>
      <c r="FA3" s="926"/>
      <c r="FB3" s="926"/>
      <c r="FC3" s="926"/>
      <c r="FD3" s="926"/>
      <c r="FE3" s="926"/>
      <c r="FF3" s="926"/>
      <c r="FG3" s="926"/>
      <c r="FH3" s="926"/>
      <c r="FI3" s="926"/>
      <c r="FJ3" s="926"/>
      <c r="FK3" s="926"/>
      <c r="FL3" s="926"/>
      <c r="FM3" s="926"/>
      <c r="FN3" s="926"/>
      <c r="FO3" s="926"/>
      <c r="FP3" s="926"/>
      <c r="FQ3" s="926"/>
      <c r="FR3" s="926"/>
      <c r="FS3" s="926"/>
      <c r="FT3" s="926"/>
      <c r="FU3" s="926"/>
      <c r="FV3" s="926"/>
      <c r="FW3" s="926"/>
      <c r="FX3" s="926"/>
      <c r="FY3" s="926"/>
      <c r="FZ3" s="926"/>
      <c r="GA3" s="926"/>
      <c r="GB3" s="926"/>
      <c r="GC3" s="926"/>
      <c r="GD3" s="926"/>
      <c r="GE3" s="926"/>
      <c r="GF3" s="926"/>
      <c r="GG3" s="926"/>
      <c r="GH3" s="926"/>
      <c r="GI3" s="926"/>
      <c r="GJ3" s="926"/>
      <c r="GK3" s="926"/>
      <c r="GL3" s="926"/>
      <c r="GM3" s="926"/>
      <c r="GN3" s="926"/>
      <c r="GO3" s="926"/>
      <c r="GP3" s="926"/>
      <c r="GQ3" s="926"/>
      <c r="GR3" s="926"/>
      <c r="GS3" s="926"/>
      <c r="GT3" s="926"/>
      <c r="GU3" s="926"/>
      <c r="GV3" s="926"/>
      <c r="GW3" s="926"/>
      <c r="GX3" s="926"/>
      <c r="GY3" s="926"/>
      <c r="GZ3" s="926"/>
      <c r="HA3" s="926"/>
      <c r="HB3" s="926"/>
      <c r="HC3" s="926"/>
      <c r="HD3" s="926"/>
      <c r="HE3" s="926"/>
      <c r="HF3" s="926"/>
      <c r="HG3" s="926"/>
      <c r="HH3" s="926"/>
      <c r="HI3" s="926"/>
      <c r="HJ3" s="926"/>
      <c r="HK3" s="926"/>
      <c r="HL3" s="926"/>
      <c r="HM3" s="926"/>
      <c r="HN3" s="926"/>
      <c r="HO3" s="926"/>
      <c r="HP3" s="926"/>
      <c r="HQ3" s="926"/>
      <c r="HR3" s="926"/>
      <c r="HS3" s="926"/>
      <c r="HT3" s="926"/>
      <c r="HU3" s="926"/>
      <c r="HV3" s="926"/>
      <c r="HW3" s="926"/>
      <c r="HX3" s="926"/>
      <c r="HY3" s="926"/>
      <c r="HZ3" s="926"/>
      <c r="IA3" s="926"/>
      <c r="IB3" s="926"/>
      <c r="IC3" s="926"/>
      <c r="ID3" s="926"/>
      <c r="IE3" s="926"/>
      <c r="IF3" s="926"/>
      <c r="IG3" s="926"/>
      <c r="IH3" s="926"/>
      <c r="II3" s="926"/>
      <c r="IJ3" s="926"/>
      <c r="IK3" s="926"/>
      <c r="IL3" s="926"/>
      <c r="IM3" s="926"/>
      <c r="IN3" s="926"/>
      <c r="IO3" s="926"/>
      <c r="IP3" s="926"/>
      <c r="IQ3" s="926"/>
      <c r="IR3" s="926"/>
      <c r="IS3" s="926"/>
      <c r="IT3" s="926"/>
      <c r="IU3" s="926"/>
      <c r="IV3" s="926"/>
    </row>
    <row r="4" s="923" customFormat="1" ht="15" customHeight="1" spans="1:256">
      <c r="A4" s="935" t="s">
        <v>313</v>
      </c>
      <c r="B4" s="936"/>
      <c r="C4" s="936"/>
      <c r="D4" s="934"/>
      <c r="E4" s="934" t="s">
        <v>314</v>
      </c>
      <c r="F4" s="934" t="s">
        <v>315</v>
      </c>
      <c r="G4" s="934" t="s">
        <v>316</v>
      </c>
      <c r="H4" s="934"/>
      <c r="I4" s="925"/>
      <c r="J4" s="925"/>
      <c r="K4" s="925"/>
      <c r="L4" s="925"/>
      <c r="M4" s="925"/>
      <c r="N4" s="925"/>
      <c r="O4" s="925"/>
      <c r="P4" s="925"/>
      <c r="Q4" s="925"/>
      <c r="R4" s="925"/>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c r="BH4" s="925"/>
      <c r="BI4" s="925"/>
      <c r="BJ4" s="925"/>
      <c r="BK4" s="925"/>
      <c r="BL4" s="925"/>
      <c r="BM4" s="925"/>
      <c r="BN4" s="925"/>
      <c r="BO4" s="925"/>
      <c r="BP4" s="925"/>
      <c r="BQ4" s="925"/>
      <c r="BR4" s="925"/>
      <c r="BS4" s="925"/>
      <c r="BT4" s="925"/>
      <c r="BU4" s="925"/>
      <c r="BV4" s="925"/>
      <c r="BW4" s="925"/>
      <c r="BX4" s="925"/>
      <c r="BY4" s="925"/>
      <c r="BZ4" s="925"/>
      <c r="CA4" s="925"/>
      <c r="CB4" s="925"/>
      <c r="CC4" s="925"/>
      <c r="CD4" s="925"/>
      <c r="CE4" s="925"/>
      <c r="CF4" s="925"/>
      <c r="CG4" s="925"/>
      <c r="CH4" s="925"/>
      <c r="CI4" s="925"/>
      <c r="CJ4" s="925"/>
      <c r="CK4" s="925"/>
      <c r="CL4" s="925"/>
      <c r="CM4" s="925"/>
      <c r="CN4" s="925"/>
      <c r="CO4" s="925"/>
      <c r="CP4" s="925"/>
      <c r="CQ4" s="925"/>
      <c r="CR4" s="925"/>
      <c r="CS4" s="925"/>
      <c r="CT4" s="925"/>
      <c r="CU4" s="925"/>
      <c r="CV4" s="925"/>
      <c r="CW4" s="925"/>
      <c r="CX4" s="925"/>
      <c r="CY4" s="925"/>
      <c r="CZ4" s="925"/>
      <c r="DA4" s="925"/>
      <c r="DB4" s="925"/>
      <c r="DC4" s="925"/>
      <c r="DD4" s="925"/>
      <c r="DE4" s="925"/>
      <c r="DF4" s="925"/>
      <c r="DG4" s="925"/>
      <c r="DH4" s="925"/>
      <c r="DI4" s="925"/>
      <c r="DJ4" s="925"/>
      <c r="DK4" s="925"/>
      <c r="DL4" s="925"/>
      <c r="DM4" s="925"/>
      <c r="DN4" s="925"/>
      <c r="DO4" s="925"/>
      <c r="DP4" s="925"/>
      <c r="DQ4" s="925"/>
      <c r="DR4" s="925"/>
      <c r="DS4" s="925"/>
      <c r="DT4" s="925"/>
      <c r="DU4" s="925"/>
      <c r="DV4" s="925"/>
      <c r="DW4" s="925"/>
      <c r="DX4" s="925"/>
      <c r="DY4" s="925"/>
      <c r="DZ4" s="925"/>
      <c r="EA4" s="925"/>
      <c r="EB4" s="925"/>
      <c r="EC4" s="925"/>
      <c r="ED4" s="925"/>
      <c r="EE4" s="925"/>
      <c r="EF4" s="925"/>
      <c r="EG4" s="925"/>
      <c r="EH4" s="925"/>
      <c r="EI4" s="925"/>
      <c r="EJ4" s="925"/>
      <c r="EK4" s="925"/>
      <c r="EL4" s="925"/>
      <c r="EM4" s="925"/>
      <c r="EN4" s="925"/>
      <c r="EO4" s="925"/>
      <c r="EP4" s="925"/>
      <c r="EQ4" s="925"/>
      <c r="ER4" s="925"/>
      <c r="ES4" s="925"/>
      <c r="ET4" s="925"/>
      <c r="EU4" s="925"/>
      <c r="EV4" s="925"/>
      <c r="EW4" s="925"/>
      <c r="EX4" s="925"/>
      <c r="EY4" s="925"/>
      <c r="EZ4" s="925"/>
      <c r="FA4" s="925"/>
      <c r="FB4" s="925"/>
      <c r="FC4" s="925"/>
      <c r="FD4" s="925"/>
      <c r="FE4" s="925"/>
      <c r="FF4" s="925"/>
      <c r="FG4" s="925"/>
      <c r="FH4" s="925"/>
      <c r="FI4" s="925"/>
      <c r="FJ4" s="925"/>
      <c r="FK4" s="925"/>
      <c r="FL4" s="925"/>
      <c r="FM4" s="925"/>
      <c r="FN4" s="925"/>
      <c r="FO4" s="925"/>
      <c r="FP4" s="925"/>
      <c r="FQ4" s="925"/>
      <c r="FR4" s="925"/>
      <c r="FS4" s="925"/>
      <c r="FT4" s="925"/>
      <c r="FU4" s="925"/>
      <c r="FV4" s="925"/>
      <c r="FW4" s="925"/>
      <c r="FX4" s="925"/>
      <c r="FY4" s="925"/>
      <c r="FZ4" s="925"/>
      <c r="GA4" s="925"/>
      <c r="GB4" s="925"/>
      <c r="GC4" s="925"/>
      <c r="GD4" s="925"/>
      <c r="GE4" s="925"/>
      <c r="GF4" s="925"/>
      <c r="GG4" s="925"/>
      <c r="GH4" s="925"/>
      <c r="GI4" s="925"/>
      <c r="GJ4" s="925"/>
      <c r="GK4" s="925"/>
      <c r="GL4" s="925"/>
      <c r="GM4" s="925"/>
      <c r="GN4" s="925"/>
      <c r="GO4" s="925"/>
      <c r="GP4" s="925"/>
      <c r="GQ4" s="925"/>
      <c r="GR4" s="925"/>
      <c r="GS4" s="925"/>
      <c r="GT4" s="925"/>
      <c r="GU4" s="925"/>
      <c r="GV4" s="925"/>
      <c r="GW4" s="925"/>
      <c r="GX4" s="925"/>
      <c r="GY4" s="925"/>
      <c r="GZ4" s="925"/>
      <c r="HA4" s="925"/>
      <c r="HB4" s="925"/>
      <c r="HC4" s="925"/>
      <c r="HD4" s="925"/>
      <c r="HE4" s="925"/>
      <c r="HF4" s="925"/>
      <c r="HG4" s="925"/>
      <c r="HH4" s="925"/>
      <c r="HI4" s="925"/>
      <c r="HJ4" s="925"/>
      <c r="HK4" s="925"/>
      <c r="HL4" s="925"/>
      <c r="HM4" s="925"/>
      <c r="HN4" s="925"/>
      <c r="HO4" s="925"/>
      <c r="HP4" s="925"/>
      <c r="HQ4" s="925"/>
      <c r="HR4" s="925"/>
      <c r="HS4" s="925"/>
      <c r="HT4" s="925"/>
      <c r="HU4" s="925"/>
      <c r="HV4" s="925"/>
      <c r="HW4" s="925"/>
      <c r="HX4" s="925"/>
      <c r="HY4" s="925"/>
      <c r="HZ4" s="925"/>
      <c r="IA4" s="925"/>
      <c r="IB4" s="925"/>
      <c r="IC4" s="925"/>
      <c r="ID4" s="925"/>
      <c r="IE4" s="925"/>
      <c r="IF4" s="925"/>
      <c r="IG4" s="925"/>
      <c r="IH4" s="925"/>
      <c r="II4" s="925"/>
      <c r="IJ4" s="925"/>
      <c r="IK4" s="925"/>
      <c r="IL4" s="925"/>
      <c r="IM4" s="925"/>
      <c r="IN4" s="925"/>
      <c r="IO4" s="925"/>
      <c r="IP4" s="925"/>
      <c r="IQ4" s="925"/>
      <c r="IR4" s="925"/>
      <c r="IS4" s="925"/>
      <c r="IT4" s="925"/>
      <c r="IU4" s="925"/>
      <c r="IV4" s="925"/>
    </row>
    <row r="5" s="923" customFormat="1" ht="15" customHeight="1" spans="1:256">
      <c r="A5" s="937" t="s">
        <v>317</v>
      </c>
      <c r="B5" s="938">
        <f>利润表!B5+表外数据录入!C17+(资产负债表!C8-资产负债表!B8)+(资产负债表!C9-资产负债表!B9)+(资产负债表!E10-资产负债表!F10)-表外数据录入!C48-表外数据录入!C45-表外数据录入!C68+表外数据录入!C69-表外数据录入!C70</f>
        <v>342118.115577889</v>
      </c>
      <c r="C5" s="939"/>
      <c r="D5" s="940">
        <v>1</v>
      </c>
      <c r="E5" s="940" t="s">
        <v>318</v>
      </c>
      <c r="F5" s="940" t="s">
        <v>319</v>
      </c>
      <c r="G5" s="940" t="s">
        <v>318</v>
      </c>
      <c r="H5" s="941" t="s">
        <v>320</v>
      </c>
      <c r="I5" s="925"/>
      <c r="J5" s="925"/>
      <c r="K5" s="925"/>
      <c r="L5" s="925"/>
      <c r="M5" s="925"/>
      <c r="N5" s="925"/>
      <c r="O5" s="925"/>
      <c r="P5" s="925"/>
      <c r="Q5" s="925"/>
      <c r="R5" s="925"/>
      <c r="S5" s="925"/>
      <c r="T5" s="925"/>
      <c r="U5" s="925"/>
      <c r="V5" s="925"/>
      <c r="W5" s="925"/>
      <c r="X5" s="925"/>
      <c r="Y5" s="925"/>
      <c r="Z5" s="925"/>
      <c r="AA5" s="925"/>
      <c r="AB5" s="925"/>
      <c r="AC5" s="925"/>
      <c r="AD5" s="925"/>
      <c r="AE5" s="925"/>
      <c r="AF5" s="925"/>
      <c r="AG5" s="925"/>
      <c r="AH5" s="925"/>
      <c r="AI5" s="925"/>
      <c r="AJ5" s="925"/>
      <c r="AK5" s="925"/>
      <c r="AL5" s="925"/>
      <c r="AM5" s="925"/>
      <c r="AN5" s="925"/>
      <c r="AO5" s="925"/>
      <c r="AP5" s="925"/>
      <c r="AQ5" s="925"/>
      <c r="AR5" s="925"/>
      <c r="AS5" s="925"/>
      <c r="AT5" s="925"/>
      <c r="AU5" s="925"/>
      <c r="AV5" s="925"/>
      <c r="AW5" s="925"/>
      <c r="AX5" s="925"/>
      <c r="AY5" s="925"/>
      <c r="AZ5" s="925"/>
      <c r="BA5" s="925"/>
      <c r="BB5" s="925"/>
      <c r="BC5" s="925"/>
      <c r="BD5" s="925"/>
      <c r="BE5" s="925"/>
      <c r="BF5" s="925"/>
      <c r="BG5" s="925"/>
      <c r="BH5" s="925"/>
      <c r="BI5" s="925"/>
      <c r="BJ5" s="925"/>
      <c r="BK5" s="925"/>
      <c r="BL5" s="925"/>
      <c r="BM5" s="925"/>
      <c r="BN5" s="925"/>
      <c r="BO5" s="925"/>
      <c r="BP5" s="925"/>
      <c r="BQ5" s="925"/>
      <c r="BR5" s="925"/>
      <c r="BS5" s="925"/>
      <c r="BT5" s="925"/>
      <c r="BU5" s="925"/>
      <c r="BV5" s="925"/>
      <c r="BW5" s="925"/>
      <c r="BX5" s="925"/>
      <c r="BY5" s="925"/>
      <c r="BZ5" s="925"/>
      <c r="CA5" s="925"/>
      <c r="CB5" s="925"/>
      <c r="CC5" s="925"/>
      <c r="CD5" s="925"/>
      <c r="CE5" s="925"/>
      <c r="CF5" s="925"/>
      <c r="CG5" s="925"/>
      <c r="CH5" s="925"/>
      <c r="CI5" s="925"/>
      <c r="CJ5" s="925"/>
      <c r="CK5" s="925"/>
      <c r="CL5" s="925"/>
      <c r="CM5" s="925"/>
      <c r="CN5" s="925"/>
      <c r="CO5" s="925"/>
      <c r="CP5" s="925"/>
      <c r="CQ5" s="925"/>
      <c r="CR5" s="925"/>
      <c r="CS5" s="925"/>
      <c r="CT5" s="925"/>
      <c r="CU5" s="925"/>
      <c r="CV5" s="925"/>
      <c r="CW5" s="925"/>
      <c r="CX5" s="925"/>
      <c r="CY5" s="925"/>
      <c r="CZ5" s="925"/>
      <c r="DA5" s="925"/>
      <c r="DB5" s="925"/>
      <c r="DC5" s="925"/>
      <c r="DD5" s="925"/>
      <c r="DE5" s="925"/>
      <c r="DF5" s="925"/>
      <c r="DG5" s="925"/>
      <c r="DH5" s="925"/>
      <c r="DI5" s="925"/>
      <c r="DJ5" s="925"/>
      <c r="DK5" s="925"/>
      <c r="DL5" s="925"/>
      <c r="DM5" s="925"/>
      <c r="DN5" s="925"/>
      <c r="DO5" s="925"/>
      <c r="DP5" s="925"/>
      <c r="DQ5" s="925"/>
      <c r="DR5" s="925"/>
      <c r="DS5" s="925"/>
      <c r="DT5" s="925"/>
      <c r="DU5" s="925"/>
      <c r="DV5" s="925"/>
      <c r="DW5" s="925"/>
      <c r="DX5" s="925"/>
      <c r="DY5" s="925"/>
      <c r="DZ5" s="925"/>
      <c r="EA5" s="925"/>
      <c r="EB5" s="925"/>
      <c r="EC5" s="925"/>
      <c r="ED5" s="925"/>
      <c r="EE5" s="925"/>
      <c r="EF5" s="925"/>
      <c r="EG5" s="925"/>
      <c r="EH5" s="925"/>
      <c r="EI5" s="925"/>
      <c r="EJ5" s="925"/>
      <c r="EK5" s="925"/>
      <c r="EL5" s="925"/>
      <c r="EM5" s="925"/>
      <c r="EN5" s="925"/>
      <c r="EO5" s="925"/>
      <c r="EP5" s="925"/>
      <c r="EQ5" s="925"/>
      <c r="ER5" s="925"/>
      <c r="ES5" s="925"/>
      <c r="ET5" s="925"/>
      <c r="EU5" s="925"/>
      <c r="EV5" s="925"/>
      <c r="EW5" s="925"/>
      <c r="EX5" s="925"/>
      <c r="EY5" s="925"/>
      <c r="EZ5" s="925"/>
      <c r="FA5" s="925"/>
      <c r="FB5" s="925"/>
      <c r="FC5" s="925"/>
      <c r="FD5" s="925"/>
      <c r="FE5" s="925"/>
      <c r="FF5" s="925"/>
      <c r="FG5" s="925"/>
      <c r="FH5" s="925"/>
      <c r="FI5" s="925"/>
      <c r="FJ5" s="925"/>
      <c r="FK5" s="925"/>
      <c r="FL5" s="925"/>
      <c r="FM5" s="925"/>
      <c r="FN5" s="925"/>
      <c r="FO5" s="925"/>
      <c r="FP5" s="925"/>
      <c r="FQ5" s="925"/>
      <c r="FR5" s="925"/>
      <c r="FS5" s="925"/>
      <c r="FT5" s="925"/>
      <c r="FU5" s="925"/>
      <c r="FV5" s="925"/>
      <c r="FW5" s="925"/>
      <c r="FX5" s="925"/>
      <c r="FY5" s="925"/>
      <c r="FZ5" s="925"/>
      <c r="GA5" s="925"/>
      <c r="GB5" s="925"/>
      <c r="GC5" s="925"/>
      <c r="GD5" s="925"/>
      <c r="GE5" s="925"/>
      <c r="GF5" s="925"/>
      <c r="GG5" s="925"/>
      <c r="GH5" s="925"/>
      <c r="GI5" s="925"/>
      <c r="GJ5" s="925"/>
      <c r="GK5" s="925"/>
      <c r="GL5" s="925"/>
      <c r="GM5" s="925"/>
      <c r="GN5" s="925"/>
      <c r="GO5" s="925"/>
      <c r="GP5" s="925"/>
      <c r="GQ5" s="925"/>
      <c r="GR5" s="925"/>
      <c r="GS5" s="925"/>
      <c r="GT5" s="925"/>
      <c r="GU5" s="925"/>
      <c r="GV5" s="925"/>
      <c r="GW5" s="925"/>
      <c r="GX5" s="925"/>
      <c r="GY5" s="925"/>
      <c r="GZ5" s="925"/>
      <c r="HA5" s="925"/>
      <c r="HB5" s="925"/>
      <c r="HC5" s="925"/>
      <c r="HD5" s="925"/>
      <c r="HE5" s="925"/>
      <c r="HF5" s="925"/>
      <c r="HG5" s="925"/>
      <c r="HH5" s="925"/>
      <c r="HI5" s="925"/>
      <c r="HJ5" s="925"/>
      <c r="HK5" s="925"/>
      <c r="HL5" s="925"/>
      <c r="HM5" s="925"/>
      <c r="HN5" s="925"/>
      <c r="HO5" s="925"/>
      <c r="HP5" s="925"/>
      <c r="HQ5" s="925"/>
      <c r="HR5" s="925"/>
      <c r="HS5" s="925"/>
      <c r="HT5" s="925"/>
      <c r="HU5" s="925"/>
      <c r="HV5" s="925"/>
      <c r="HW5" s="925"/>
      <c r="HX5" s="925"/>
      <c r="HY5" s="925"/>
      <c r="HZ5" s="925"/>
      <c r="IA5" s="925"/>
      <c r="IB5" s="925"/>
      <c r="IC5" s="925"/>
      <c r="ID5" s="925"/>
      <c r="IE5" s="925"/>
      <c r="IF5" s="925"/>
      <c r="IG5" s="925"/>
      <c r="IH5" s="925"/>
      <c r="II5" s="925"/>
      <c r="IJ5" s="925"/>
      <c r="IK5" s="925"/>
      <c r="IL5" s="925"/>
      <c r="IM5" s="925"/>
      <c r="IN5" s="925"/>
      <c r="IO5" s="925"/>
      <c r="IP5" s="925"/>
      <c r="IQ5" s="925"/>
      <c r="IR5" s="925"/>
      <c r="IS5" s="925"/>
      <c r="IT5" s="925"/>
      <c r="IU5" s="925"/>
      <c r="IV5" s="925"/>
    </row>
    <row r="6" s="923" customFormat="1" ht="15" customHeight="1" spans="1:256">
      <c r="A6" s="937" t="s">
        <v>321</v>
      </c>
      <c r="B6" s="938">
        <f>表外数据录入!C35</f>
        <v>0</v>
      </c>
      <c r="C6" s="939"/>
      <c r="D6" s="940"/>
      <c r="E6" s="940"/>
      <c r="F6" s="940"/>
      <c r="G6" s="940"/>
      <c r="H6" s="941"/>
      <c r="I6" s="925"/>
      <c r="J6" s="925"/>
      <c r="K6" s="925"/>
      <c r="L6" s="925"/>
      <c r="M6" s="925"/>
      <c r="N6" s="925"/>
      <c r="O6" s="925"/>
      <c r="P6" s="925"/>
      <c r="Q6" s="925"/>
      <c r="R6" s="925"/>
      <c r="S6" s="925"/>
      <c r="T6" s="925"/>
      <c r="U6" s="925"/>
      <c r="V6" s="925"/>
      <c r="W6" s="925"/>
      <c r="X6" s="925"/>
      <c r="Y6" s="925"/>
      <c r="Z6" s="925"/>
      <c r="AA6" s="925"/>
      <c r="AB6" s="925"/>
      <c r="AC6" s="925"/>
      <c r="AD6" s="925"/>
      <c r="AE6" s="925"/>
      <c r="AF6" s="925"/>
      <c r="AG6" s="925"/>
      <c r="AH6" s="925"/>
      <c r="AI6" s="925"/>
      <c r="AJ6" s="925"/>
      <c r="AK6" s="925"/>
      <c r="AL6" s="925"/>
      <c r="AM6" s="925"/>
      <c r="AN6" s="925"/>
      <c r="AO6" s="925"/>
      <c r="AP6" s="925"/>
      <c r="AQ6" s="925"/>
      <c r="AR6" s="925"/>
      <c r="AS6" s="925"/>
      <c r="AT6" s="925"/>
      <c r="AU6" s="925"/>
      <c r="AV6" s="925"/>
      <c r="AW6" s="925"/>
      <c r="AX6" s="925"/>
      <c r="AY6" s="925"/>
      <c r="AZ6" s="925"/>
      <c r="BA6" s="925"/>
      <c r="BB6" s="925"/>
      <c r="BC6" s="925"/>
      <c r="BD6" s="925"/>
      <c r="BE6" s="925"/>
      <c r="BF6" s="925"/>
      <c r="BG6" s="925"/>
      <c r="BH6" s="925"/>
      <c r="BI6" s="925"/>
      <c r="BJ6" s="925"/>
      <c r="BK6" s="925"/>
      <c r="BL6" s="925"/>
      <c r="BM6" s="925"/>
      <c r="BN6" s="925"/>
      <c r="BO6" s="925"/>
      <c r="BP6" s="925"/>
      <c r="BQ6" s="925"/>
      <c r="BR6" s="925"/>
      <c r="BS6" s="925"/>
      <c r="BT6" s="925"/>
      <c r="BU6" s="925"/>
      <c r="BV6" s="925"/>
      <c r="BW6" s="925"/>
      <c r="BX6" s="925"/>
      <c r="BY6" s="925"/>
      <c r="BZ6" s="925"/>
      <c r="CA6" s="925"/>
      <c r="CB6" s="925"/>
      <c r="CC6" s="925"/>
      <c r="CD6" s="925"/>
      <c r="CE6" s="925"/>
      <c r="CF6" s="925"/>
      <c r="CG6" s="925"/>
      <c r="CH6" s="925"/>
      <c r="CI6" s="925"/>
      <c r="CJ6" s="925"/>
      <c r="CK6" s="925"/>
      <c r="CL6" s="925"/>
      <c r="CM6" s="925"/>
      <c r="CN6" s="925"/>
      <c r="CO6" s="925"/>
      <c r="CP6" s="925"/>
      <c r="CQ6" s="925"/>
      <c r="CR6" s="925"/>
      <c r="CS6" s="925"/>
      <c r="CT6" s="925"/>
      <c r="CU6" s="925"/>
      <c r="CV6" s="925"/>
      <c r="CW6" s="925"/>
      <c r="CX6" s="925"/>
      <c r="CY6" s="925"/>
      <c r="CZ6" s="925"/>
      <c r="DA6" s="925"/>
      <c r="DB6" s="925"/>
      <c r="DC6" s="925"/>
      <c r="DD6" s="925"/>
      <c r="DE6" s="925"/>
      <c r="DF6" s="925"/>
      <c r="DG6" s="925"/>
      <c r="DH6" s="925"/>
      <c r="DI6" s="925"/>
      <c r="DJ6" s="925"/>
      <c r="DK6" s="925"/>
      <c r="DL6" s="925"/>
      <c r="DM6" s="925"/>
      <c r="DN6" s="925"/>
      <c r="DO6" s="925"/>
      <c r="DP6" s="925"/>
      <c r="DQ6" s="925"/>
      <c r="DR6" s="925"/>
      <c r="DS6" s="925"/>
      <c r="DT6" s="925"/>
      <c r="DU6" s="925"/>
      <c r="DV6" s="925"/>
      <c r="DW6" s="925"/>
      <c r="DX6" s="925"/>
      <c r="DY6" s="925"/>
      <c r="DZ6" s="925"/>
      <c r="EA6" s="925"/>
      <c r="EB6" s="925"/>
      <c r="EC6" s="925"/>
      <c r="ED6" s="925"/>
      <c r="EE6" s="925"/>
      <c r="EF6" s="925"/>
      <c r="EG6" s="925"/>
      <c r="EH6" s="925"/>
      <c r="EI6" s="925"/>
      <c r="EJ6" s="925"/>
      <c r="EK6" s="925"/>
      <c r="EL6" s="925"/>
      <c r="EM6" s="925"/>
      <c r="EN6" s="925"/>
      <c r="EO6" s="925"/>
      <c r="EP6" s="925"/>
      <c r="EQ6" s="925"/>
      <c r="ER6" s="925"/>
      <c r="ES6" s="925"/>
      <c r="ET6" s="925"/>
      <c r="EU6" s="925"/>
      <c r="EV6" s="925"/>
      <c r="EW6" s="925"/>
      <c r="EX6" s="925"/>
      <c r="EY6" s="925"/>
      <c r="EZ6" s="925"/>
      <c r="FA6" s="925"/>
      <c r="FB6" s="925"/>
      <c r="FC6" s="925"/>
      <c r="FD6" s="925"/>
      <c r="FE6" s="925"/>
      <c r="FF6" s="925"/>
      <c r="FG6" s="925"/>
      <c r="FH6" s="925"/>
      <c r="FI6" s="925"/>
      <c r="FJ6" s="925"/>
      <c r="FK6" s="925"/>
      <c r="FL6" s="925"/>
      <c r="FM6" s="925"/>
      <c r="FN6" s="925"/>
      <c r="FO6" s="925"/>
      <c r="FP6" s="925"/>
      <c r="FQ6" s="925"/>
      <c r="FR6" s="925"/>
      <c r="FS6" s="925"/>
      <c r="FT6" s="925"/>
      <c r="FU6" s="925"/>
      <c r="FV6" s="925"/>
      <c r="FW6" s="925"/>
      <c r="FX6" s="925"/>
      <c r="FY6" s="925"/>
      <c r="FZ6" s="925"/>
      <c r="GA6" s="925"/>
      <c r="GB6" s="925"/>
      <c r="GC6" s="925"/>
      <c r="GD6" s="925"/>
      <c r="GE6" s="925"/>
      <c r="GF6" s="925"/>
      <c r="GG6" s="925"/>
      <c r="GH6" s="925"/>
      <c r="GI6" s="925"/>
      <c r="GJ6" s="925"/>
      <c r="GK6" s="925"/>
      <c r="GL6" s="925"/>
      <c r="GM6" s="925"/>
      <c r="GN6" s="925"/>
      <c r="GO6" s="925"/>
      <c r="GP6" s="925"/>
      <c r="GQ6" s="925"/>
      <c r="GR6" s="925"/>
      <c r="GS6" s="925"/>
      <c r="GT6" s="925"/>
      <c r="GU6" s="925"/>
      <c r="GV6" s="925"/>
      <c r="GW6" s="925"/>
      <c r="GX6" s="925"/>
      <c r="GY6" s="925"/>
      <c r="GZ6" s="925"/>
      <c r="HA6" s="925"/>
      <c r="HB6" s="925"/>
      <c r="HC6" s="925"/>
      <c r="HD6" s="925"/>
      <c r="HE6" s="925"/>
      <c r="HF6" s="925"/>
      <c r="HG6" s="925"/>
      <c r="HH6" s="925"/>
      <c r="HI6" s="925"/>
      <c r="HJ6" s="925"/>
      <c r="HK6" s="925"/>
      <c r="HL6" s="925"/>
      <c r="HM6" s="925"/>
      <c r="HN6" s="925"/>
      <c r="HO6" s="925"/>
      <c r="HP6" s="925"/>
      <c r="HQ6" s="925"/>
      <c r="HR6" s="925"/>
      <c r="HS6" s="925"/>
      <c r="HT6" s="925"/>
      <c r="HU6" s="925"/>
      <c r="HV6" s="925"/>
      <c r="HW6" s="925"/>
      <c r="HX6" s="925"/>
      <c r="HY6" s="925"/>
      <c r="HZ6" s="925"/>
      <c r="IA6" s="925"/>
      <c r="IB6" s="925"/>
      <c r="IC6" s="925"/>
      <c r="ID6" s="925"/>
      <c r="IE6" s="925"/>
      <c r="IF6" s="925"/>
      <c r="IG6" s="925"/>
      <c r="IH6" s="925"/>
      <c r="II6" s="925"/>
      <c r="IJ6" s="925"/>
      <c r="IK6" s="925"/>
      <c r="IL6" s="925"/>
      <c r="IM6" s="925"/>
      <c r="IN6" s="925"/>
      <c r="IO6" s="925"/>
      <c r="IP6" s="925"/>
      <c r="IQ6" s="925"/>
      <c r="IR6" s="925"/>
      <c r="IS6" s="925"/>
      <c r="IT6" s="925"/>
      <c r="IU6" s="925"/>
      <c r="IV6" s="925"/>
    </row>
    <row r="7" s="923" customFormat="1" ht="15" customHeight="1" spans="1:256">
      <c r="A7" s="937" t="s">
        <v>322</v>
      </c>
      <c r="B7" s="938">
        <f>B74-B37-B27+B13-B5-B6</f>
        <v>199890.134422111</v>
      </c>
      <c r="C7" s="939"/>
      <c r="D7" s="940"/>
      <c r="E7" s="940"/>
      <c r="F7" s="940"/>
      <c r="G7" s="940"/>
      <c r="H7" s="941"/>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5"/>
      <c r="AL7" s="925"/>
      <c r="AM7" s="925"/>
      <c r="AN7" s="925"/>
      <c r="AO7" s="925"/>
      <c r="AP7" s="925"/>
      <c r="AQ7" s="925"/>
      <c r="AR7" s="925"/>
      <c r="AS7" s="925"/>
      <c r="AT7" s="925"/>
      <c r="AU7" s="925"/>
      <c r="AV7" s="925"/>
      <c r="AW7" s="925"/>
      <c r="AX7" s="925"/>
      <c r="AY7" s="925"/>
      <c r="AZ7" s="925"/>
      <c r="BA7" s="925"/>
      <c r="BB7" s="925"/>
      <c r="BC7" s="925"/>
      <c r="BD7" s="925"/>
      <c r="BE7" s="925"/>
      <c r="BF7" s="925"/>
      <c r="BG7" s="925"/>
      <c r="BH7" s="925"/>
      <c r="BI7" s="925"/>
      <c r="BJ7" s="925"/>
      <c r="BK7" s="925"/>
      <c r="BL7" s="925"/>
      <c r="BM7" s="925"/>
      <c r="BN7" s="925"/>
      <c r="BO7" s="925"/>
      <c r="BP7" s="925"/>
      <c r="BQ7" s="925"/>
      <c r="BR7" s="925"/>
      <c r="BS7" s="925"/>
      <c r="BT7" s="925"/>
      <c r="BU7" s="925"/>
      <c r="BV7" s="925"/>
      <c r="BW7" s="925"/>
      <c r="BX7" s="925"/>
      <c r="BY7" s="925"/>
      <c r="BZ7" s="925"/>
      <c r="CA7" s="925"/>
      <c r="CB7" s="925"/>
      <c r="CC7" s="925"/>
      <c r="CD7" s="925"/>
      <c r="CE7" s="925"/>
      <c r="CF7" s="925"/>
      <c r="CG7" s="925"/>
      <c r="CH7" s="925"/>
      <c r="CI7" s="925"/>
      <c r="CJ7" s="925"/>
      <c r="CK7" s="925"/>
      <c r="CL7" s="925"/>
      <c r="CM7" s="925"/>
      <c r="CN7" s="925"/>
      <c r="CO7" s="925"/>
      <c r="CP7" s="925"/>
      <c r="CQ7" s="925"/>
      <c r="CR7" s="925"/>
      <c r="CS7" s="925"/>
      <c r="CT7" s="925"/>
      <c r="CU7" s="925"/>
      <c r="CV7" s="925"/>
      <c r="CW7" s="925"/>
      <c r="CX7" s="925"/>
      <c r="CY7" s="925"/>
      <c r="CZ7" s="925"/>
      <c r="DA7" s="925"/>
      <c r="DB7" s="925"/>
      <c r="DC7" s="925"/>
      <c r="DD7" s="925"/>
      <c r="DE7" s="925"/>
      <c r="DF7" s="925"/>
      <c r="DG7" s="925"/>
      <c r="DH7" s="925"/>
      <c r="DI7" s="925"/>
      <c r="DJ7" s="925"/>
      <c r="DK7" s="925"/>
      <c r="DL7" s="925"/>
      <c r="DM7" s="925"/>
      <c r="DN7" s="925"/>
      <c r="DO7" s="925"/>
      <c r="DP7" s="925"/>
      <c r="DQ7" s="925"/>
      <c r="DR7" s="925"/>
      <c r="DS7" s="925"/>
      <c r="DT7" s="925"/>
      <c r="DU7" s="925"/>
      <c r="DV7" s="925"/>
      <c r="DW7" s="925"/>
      <c r="DX7" s="925"/>
      <c r="DY7" s="925"/>
      <c r="DZ7" s="925"/>
      <c r="EA7" s="925"/>
      <c r="EB7" s="925"/>
      <c r="EC7" s="925"/>
      <c r="ED7" s="925"/>
      <c r="EE7" s="925"/>
      <c r="EF7" s="925"/>
      <c r="EG7" s="925"/>
      <c r="EH7" s="925"/>
      <c r="EI7" s="925"/>
      <c r="EJ7" s="925"/>
      <c r="EK7" s="925"/>
      <c r="EL7" s="925"/>
      <c r="EM7" s="925"/>
      <c r="EN7" s="925"/>
      <c r="EO7" s="925"/>
      <c r="EP7" s="925"/>
      <c r="EQ7" s="925"/>
      <c r="ER7" s="925"/>
      <c r="ES7" s="925"/>
      <c r="ET7" s="925"/>
      <c r="EU7" s="925"/>
      <c r="EV7" s="925"/>
      <c r="EW7" s="925"/>
      <c r="EX7" s="925"/>
      <c r="EY7" s="925"/>
      <c r="EZ7" s="925"/>
      <c r="FA7" s="925"/>
      <c r="FB7" s="925"/>
      <c r="FC7" s="925"/>
      <c r="FD7" s="925"/>
      <c r="FE7" s="925"/>
      <c r="FF7" s="925"/>
      <c r="FG7" s="925"/>
      <c r="FH7" s="925"/>
      <c r="FI7" s="925"/>
      <c r="FJ7" s="925"/>
      <c r="FK7" s="925"/>
      <c r="FL7" s="925"/>
      <c r="FM7" s="925"/>
      <c r="FN7" s="925"/>
      <c r="FO7" s="925"/>
      <c r="FP7" s="925"/>
      <c r="FQ7" s="925"/>
      <c r="FR7" s="925"/>
      <c r="FS7" s="925"/>
      <c r="FT7" s="925"/>
      <c r="FU7" s="925"/>
      <c r="FV7" s="925"/>
      <c r="FW7" s="925"/>
      <c r="FX7" s="925"/>
      <c r="FY7" s="925"/>
      <c r="FZ7" s="925"/>
      <c r="GA7" s="925"/>
      <c r="GB7" s="925"/>
      <c r="GC7" s="925"/>
      <c r="GD7" s="925"/>
      <c r="GE7" s="925"/>
      <c r="GF7" s="925"/>
      <c r="GG7" s="925"/>
      <c r="GH7" s="925"/>
      <c r="GI7" s="925"/>
      <c r="GJ7" s="925"/>
      <c r="GK7" s="925"/>
      <c r="GL7" s="925"/>
      <c r="GM7" s="925"/>
      <c r="GN7" s="925"/>
      <c r="GO7" s="925"/>
      <c r="GP7" s="925"/>
      <c r="GQ7" s="925"/>
      <c r="GR7" s="925"/>
      <c r="GS7" s="925"/>
      <c r="GT7" s="925"/>
      <c r="GU7" s="925"/>
      <c r="GV7" s="925"/>
      <c r="GW7" s="925"/>
      <c r="GX7" s="925"/>
      <c r="GY7" s="925"/>
      <c r="GZ7" s="925"/>
      <c r="HA7" s="925"/>
      <c r="HB7" s="925"/>
      <c r="HC7" s="925"/>
      <c r="HD7" s="925"/>
      <c r="HE7" s="925"/>
      <c r="HF7" s="925"/>
      <c r="HG7" s="925"/>
      <c r="HH7" s="925"/>
      <c r="HI7" s="925"/>
      <c r="HJ7" s="925"/>
      <c r="HK7" s="925"/>
      <c r="HL7" s="925"/>
      <c r="HM7" s="925"/>
      <c r="HN7" s="925"/>
      <c r="HO7" s="925"/>
      <c r="HP7" s="925"/>
      <c r="HQ7" s="925"/>
      <c r="HR7" s="925"/>
      <c r="HS7" s="925"/>
      <c r="HT7" s="925"/>
      <c r="HU7" s="925"/>
      <c r="HV7" s="925"/>
      <c r="HW7" s="925"/>
      <c r="HX7" s="925"/>
      <c r="HY7" s="925"/>
      <c r="HZ7" s="925"/>
      <c r="IA7" s="925"/>
      <c r="IB7" s="925"/>
      <c r="IC7" s="925"/>
      <c r="ID7" s="925"/>
      <c r="IE7" s="925"/>
      <c r="IF7" s="925"/>
      <c r="IG7" s="925"/>
      <c r="IH7" s="925"/>
      <c r="II7" s="925"/>
      <c r="IJ7" s="925"/>
      <c r="IK7" s="925"/>
      <c r="IL7" s="925"/>
      <c r="IM7" s="925"/>
      <c r="IN7" s="925"/>
      <c r="IO7" s="925"/>
      <c r="IP7" s="925"/>
      <c r="IQ7" s="925"/>
      <c r="IR7" s="925"/>
      <c r="IS7" s="925"/>
      <c r="IT7" s="925"/>
      <c r="IU7" s="925"/>
      <c r="IV7" s="925"/>
    </row>
    <row r="8" s="923" customFormat="1" ht="15" customHeight="1" spans="1:256">
      <c r="A8" s="942" t="s">
        <v>323</v>
      </c>
      <c r="B8" s="938">
        <f>SUM(B5:B7)</f>
        <v>542008.25</v>
      </c>
      <c r="C8" s="938">
        <f>SUM(C5:C7)</f>
        <v>0</v>
      </c>
      <c r="D8" s="940"/>
      <c r="E8" s="940"/>
      <c r="F8" s="940"/>
      <c r="G8" s="940"/>
      <c r="H8" s="941"/>
      <c r="I8" s="925"/>
      <c r="J8" s="925"/>
      <c r="K8" s="925"/>
      <c r="L8" s="925"/>
      <c r="M8" s="925"/>
      <c r="N8" s="925"/>
      <c r="O8" s="925"/>
      <c r="P8" s="925"/>
      <c r="Q8" s="925"/>
      <c r="R8" s="925"/>
      <c r="S8" s="925"/>
      <c r="T8" s="925"/>
      <c r="U8" s="925"/>
      <c r="V8" s="925"/>
      <c r="W8" s="925"/>
      <c r="X8" s="925"/>
      <c r="Y8" s="925"/>
      <c r="Z8" s="925"/>
      <c r="AA8" s="925"/>
      <c r="AB8" s="925"/>
      <c r="AC8" s="925"/>
      <c r="AD8" s="925"/>
      <c r="AE8" s="925"/>
      <c r="AF8" s="925"/>
      <c r="AG8" s="925"/>
      <c r="AH8" s="925"/>
      <c r="AI8" s="925"/>
      <c r="AJ8" s="925"/>
      <c r="AK8" s="925"/>
      <c r="AL8" s="925"/>
      <c r="AM8" s="925"/>
      <c r="AN8" s="925"/>
      <c r="AO8" s="925"/>
      <c r="AP8" s="925"/>
      <c r="AQ8" s="925"/>
      <c r="AR8" s="925"/>
      <c r="AS8" s="925"/>
      <c r="AT8" s="925"/>
      <c r="AU8" s="925"/>
      <c r="AV8" s="925"/>
      <c r="AW8" s="925"/>
      <c r="AX8" s="925"/>
      <c r="AY8" s="925"/>
      <c r="AZ8" s="925"/>
      <c r="BA8" s="925"/>
      <c r="BB8" s="925"/>
      <c r="BC8" s="925"/>
      <c r="BD8" s="925"/>
      <c r="BE8" s="925"/>
      <c r="BF8" s="925"/>
      <c r="BG8" s="925"/>
      <c r="BH8" s="925"/>
      <c r="BI8" s="925"/>
      <c r="BJ8" s="925"/>
      <c r="BK8" s="925"/>
      <c r="BL8" s="925"/>
      <c r="BM8" s="925"/>
      <c r="BN8" s="925"/>
      <c r="BO8" s="925"/>
      <c r="BP8" s="925"/>
      <c r="BQ8" s="925"/>
      <c r="BR8" s="925"/>
      <c r="BS8" s="925"/>
      <c r="BT8" s="925"/>
      <c r="BU8" s="925"/>
      <c r="BV8" s="925"/>
      <c r="BW8" s="925"/>
      <c r="BX8" s="925"/>
      <c r="BY8" s="925"/>
      <c r="BZ8" s="925"/>
      <c r="CA8" s="925"/>
      <c r="CB8" s="925"/>
      <c r="CC8" s="925"/>
      <c r="CD8" s="925"/>
      <c r="CE8" s="925"/>
      <c r="CF8" s="925"/>
      <c r="CG8" s="925"/>
      <c r="CH8" s="925"/>
      <c r="CI8" s="925"/>
      <c r="CJ8" s="925"/>
      <c r="CK8" s="925"/>
      <c r="CL8" s="925"/>
      <c r="CM8" s="925"/>
      <c r="CN8" s="925"/>
      <c r="CO8" s="925"/>
      <c r="CP8" s="925"/>
      <c r="CQ8" s="925"/>
      <c r="CR8" s="925"/>
      <c r="CS8" s="925"/>
      <c r="CT8" s="925"/>
      <c r="CU8" s="925"/>
      <c r="CV8" s="925"/>
      <c r="CW8" s="925"/>
      <c r="CX8" s="925"/>
      <c r="CY8" s="925"/>
      <c r="CZ8" s="925"/>
      <c r="DA8" s="925"/>
      <c r="DB8" s="925"/>
      <c r="DC8" s="925"/>
      <c r="DD8" s="925"/>
      <c r="DE8" s="925"/>
      <c r="DF8" s="925"/>
      <c r="DG8" s="925"/>
      <c r="DH8" s="925"/>
      <c r="DI8" s="925"/>
      <c r="DJ8" s="925"/>
      <c r="DK8" s="925"/>
      <c r="DL8" s="925"/>
      <c r="DM8" s="925"/>
      <c r="DN8" s="925"/>
      <c r="DO8" s="925"/>
      <c r="DP8" s="925"/>
      <c r="DQ8" s="925"/>
      <c r="DR8" s="925"/>
      <c r="DS8" s="925"/>
      <c r="DT8" s="925"/>
      <c r="DU8" s="925"/>
      <c r="DV8" s="925"/>
      <c r="DW8" s="925"/>
      <c r="DX8" s="925"/>
      <c r="DY8" s="925"/>
      <c r="DZ8" s="925"/>
      <c r="EA8" s="925"/>
      <c r="EB8" s="925"/>
      <c r="EC8" s="925"/>
      <c r="ED8" s="925"/>
      <c r="EE8" s="925"/>
      <c r="EF8" s="925"/>
      <c r="EG8" s="925"/>
      <c r="EH8" s="925"/>
      <c r="EI8" s="925"/>
      <c r="EJ8" s="925"/>
      <c r="EK8" s="925"/>
      <c r="EL8" s="925"/>
      <c r="EM8" s="925"/>
      <c r="EN8" s="925"/>
      <c r="EO8" s="925"/>
      <c r="EP8" s="925"/>
      <c r="EQ8" s="925"/>
      <c r="ER8" s="925"/>
      <c r="ES8" s="925"/>
      <c r="ET8" s="925"/>
      <c r="EU8" s="925"/>
      <c r="EV8" s="925"/>
      <c r="EW8" s="925"/>
      <c r="EX8" s="925"/>
      <c r="EY8" s="925"/>
      <c r="EZ8" s="925"/>
      <c r="FA8" s="925"/>
      <c r="FB8" s="925"/>
      <c r="FC8" s="925"/>
      <c r="FD8" s="925"/>
      <c r="FE8" s="925"/>
      <c r="FF8" s="925"/>
      <c r="FG8" s="925"/>
      <c r="FH8" s="925"/>
      <c r="FI8" s="925"/>
      <c r="FJ8" s="925"/>
      <c r="FK8" s="925"/>
      <c r="FL8" s="925"/>
      <c r="FM8" s="925"/>
      <c r="FN8" s="925"/>
      <c r="FO8" s="925"/>
      <c r="FP8" s="925"/>
      <c r="FQ8" s="925"/>
      <c r="FR8" s="925"/>
      <c r="FS8" s="925"/>
      <c r="FT8" s="925"/>
      <c r="FU8" s="925"/>
      <c r="FV8" s="925"/>
      <c r="FW8" s="925"/>
      <c r="FX8" s="925"/>
      <c r="FY8" s="925"/>
      <c r="FZ8" s="925"/>
      <c r="GA8" s="925"/>
      <c r="GB8" s="925"/>
      <c r="GC8" s="925"/>
      <c r="GD8" s="925"/>
      <c r="GE8" s="925"/>
      <c r="GF8" s="925"/>
      <c r="GG8" s="925"/>
      <c r="GH8" s="925"/>
      <c r="GI8" s="925"/>
      <c r="GJ8" s="925"/>
      <c r="GK8" s="925"/>
      <c r="GL8" s="925"/>
      <c r="GM8" s="925"/>
      <c r="GN8" s="925"/>
      <c r="GO8" s="925"/>
      <c r="GP8" s="925"/>
      <c r="GQ8" s="925"/>
      <c r="GR8" s="925"/>
      <c r="GS8" s="925"/>
      <c r="GT8" s="925"/>
      <c r="GU8" s="925"/>
      <c r="GV8" s="925"/>
      <c r="GW8" s="925"/>
      <c r="GX8" s="925"/>
      <c r="GY8" s="925"/>
      <c r="GZ8" s="925"/>
      <c r="HA8" s="925"/>
      <c r="HB8" s="925"/>
      <c r="HC8" s="925"/>
      <c r="HD8" s="925"/>
      <c r="HE8" s="925"/>
      <c r="HF8" s="925"/>
      <c r="HG8" s="925"/>
      <c r="HH8" s="925"/>
      <c r="HI8" s="925"/>
      <c r="HJ8" s="925"/>
      <c r="HK8" s="925"/>
      <c r="HL8" s="925"/>
      <c r="HM8" s="925"/>
      <c r="HN8" s="925"/>
      <c r="HO8" s="925"/>
      <c r="HP8" s="925"/>
      <c r="HQ8" s="925"/>
      <c r="HR8" s="925"/>
      <c r="HS8" s="925"/>
      <c r="HT8" s="925"/>
      <c r="HU8" s="925"/>
      <c r="HV8" s="925"/>
      <c r="HW8" s="925"/>
      <c r="HX8" s="925"/>
      <c r="HY8" s="925"/>
      <c r="HZ8" s="925"/>
      <c r="IA8" s="925"/>
      <c r="IB8" s="925"/>
      <c r="IC8" s="925"/>
      <c r="ID8" s="925"/>
      <c r="IE8" s="925"/>
      <c r="IF8" s="925"/>
      <c r="IG8" s="925"/>
      <c r="IH8" s="925"/>
      <c r="II8" s="925"/>
      <c r="IJ8" s="925"/>
      <c r="IK8" s="925"/>
      <c r="IL8" s="925"/>
      <c r="IM8" s="925"/>
      <c r="IN8" s="925"/>
      <c r="IO8" s="925"/>
      <c r="IP8" s="925"/>
      <c r="IQ8" s="925"/>
      <c r="IR8" s="925"/>
      <c r="IS8" s="925"/>
      <c r="IT8" s="925"/>
      <c r="IU8" s="925"/>
      <c r="IV8" s="925"/>
    </row>
    <row r="9" s="923" customFormat="1" ht="15" customHeight="1" spans="1:256">
      <c r="A9" s="937" t="s">
        <v>324</v>
      </c>
      <c r="B9" s="938">
        <f>利润表!B6+表外数据录入!C28+(资产负债表!B14-资产负债表!C14)+(资产负债表!B10-资产负债表!C10)+(资产负债表!F9-资产负债表!E9)+(资产负债表!F8-资产负债表!E8)+表外数据录入!C71+表外数据录入!C72-表外数据录入!C73-表外数据录入!C74-表外数据录入!C75-表外数据录入!C76+表外数据录入!C77</f>
        <v>415781</v>
      </c>
      <c r="C9" s="939"/>
      <c r="D9" s="940">
        <v>2</v>
      </c>
      <c r="E9" s="940" t="s">
        <v>318</v>
      </c>
      <c r="F9" s="940" t="s">
        <v>319</v>
      </c>
      <c r="G9" s="940" t="s">
        <v>319</v>
      </c>
      <c r="H9" s="941" t="s">
        <v>325</v>
      </c>
      <c r="I9" s="925"/>
      <c r="J9" s="925"/>
      <c r="K9" s="925"/>
      <c r="L9" s="925"/>
      <c r="M9" s="925"/>
      <c r="N9" s="925"/>
      <c r="O9" s="925"/>
      <c r="P9" s="925"/>
      <c r="Q9" s="925"/>
      <c r="R9" s="925"/>
      <c r="S9" s="925"/>
      <c r="T9" s="925"/>
      <c r="U9" s="925"/>
      <c r="V9" s="925"/>
      <c r="W9" s="925"/>
      <c r="X9" s="925"/>
      <c r="Y9" s="925"/>
      <c r="Z9" s="925"/>
      <c r="AA9" s="925"/>
      <c r="AB9" s="925"/>
      <c r="AC9" s="925"/>
      <c r="AD9" s="925"/>
      <c r="AE9" s="925"/>
      <c r="AF9" s="925"/>
      <c r="AG9" s="925"/>
      <c r="AH9" s="925"/>
      <c r="AI9" s="925"/>
      <c r="AJ9" s="925"/>
      <c r="AK9" s="925"/>
      <c r="AL9" s="925"/>
      <c r="AM9" s="925"/>
      <c r="AN9" s="925"/>
      <c r="AO9" s="925"/>
      <c r="AP9" s="925"/>
      <c r="AQ9" s="925"/>
      <c r="AR9" s="925"/>
      <c r="AS9" s="925"/>
      <c r="AT9" s="925"/>
      <c r="AU9" s="925"/>
      <c r="AV9" s="925"/>
      <c r="AW9" s="925"/>
      <c r="AX9" s="925"/>
      <c r="AY9" s="925"/>
      <c r="AZ9" s="925"/>
      <c r="BA9" s="925"/>
      <c r="BB9" s="925"/>
      <c r="BC9" s="925"/>
      <c r="BD9" s="925"/>
      <c r="BE9" s="925"/>
      <c r="BF9" s="925"/>
      <c r="BG9" s="925"/>
      <c r="BH9" s="925"/>
      <c r="BI9" s="925"/>
      <c r="BJ9" s="925"/>
      <c r="BK9" s="925"/>
      <c r="BL9" s="925"/>
      <c r="BM9" s="925"/>
      <c r="BN9" s="925"/>
      <c r="BO9" s="925"/>
      <c r="BP9" s="925"/>
      <c r="BQ9" s="925"/>
      <c r="BR9" s="925"/>
      <c r="BS9" s="925"/>
      <c r="BT9" s="925"/>
      <c r="BU9" s="925"/>
      <c r="BV9" s="925"/>
      <c r="BW9" s="925"/>
      <c r="BX9" s="925"/>
      <c r="BY9" s="925"/>
      <c r="BZ9" s="925"/>
      <c r="CA9" s="925"/>
      <c r="CB9" s="925"/>
      <c r="CC9" s="925"/>
      <c r="CD9" s="925"/>
      <c r="CE9" s="925"/>
      <c r="CF9" s="925"/>
      <c r="CG9" s="925"/>
      <c r="CH9" s="925"/>
      <c r="CI9" s="925"/>
      <c r="CJ9" s="925"/>
      <c r="CK9" s="925"/>
      <c r="CL9" s="925"/>
      <c r="CM9" s="925"/>
      <c r="CN9" s="925"/>
      <c r="CO9" s="925"/>
      <c r="CP9" s="925"/>
      <c r="CQ9" s="925"/>
      <c r="CR9" s="925"/>
      <c r="CS9" s="925"/>
      <c r="CT9" s="925"/>
      <c r="CU9" s="925"/>
      <c r="CV9" s="925"/>
      <c r="CW9" s="925"/>
      <c r="CX9" s="925"/>
      <c r="CY9" s="925"/>
      <c r="CZ9" s="925"/>
      <c r="DA9" s="925"/>
      <c r="DB9" s="925"/>
      <c r="DC9" s="925"/>
      <c r="DD9" s="925"/>
      <c r="DE9" s="925"/>
      <c r="DF9" s="925"/>
      <c r="DG9" s="925"/>
      <c r="DH9" s="925"/>
      <c r="DI9" s="925"/>
      <c r="DJ9" s="925"/>
      <c r="DK9" s="925"/>
      <c r="DL9" s="925"/>
      <c r="DM9" s="925"/>
      <c r="DN9" s="925"/>
      <c r="DO9" s="925"/>
      <c r="DP9" s="925"/>
      <c r="DQ9" s="925"/>
      <c r="DR9" s="925"/>
      <c r="DS9" s="925"/>
      <c r="DT9" s="925"/>
      <c r="DU9" s="925"/>
      <c r="DV9" s="925"/>
      <c r="DW9" s="925"/>
      <c r="DX9" s="925"/>
      <c r="DY9" s="925"/>
      <c r="DZ9" s="925"/>
      <c r="EA9" s="925"/>
      <c r="EB9" s="925"/>
      <c r="EC9" s="925"/>
      <c r="ED9" s="925"/>
      <c r="EE9" s="925"/>
      <c r="EF9" s="925"/>
      <c r="EG9" s="925"/>
      <c r="EH9" s="925"/>
      <c r="EI9" s="925"/>
      <c r="EJ9" s="925"/>
      <c r="EK9" s="925"/>
      <c r="EL9" s="925"/>
      <c r="EM9" s="925"/>
      <c r="EN9" s="925"/>
      <c r="EO9" s="925"/>
      <c r="EP9" s="925"/>
      <c r="EQ9" s="925"/>
      <c r="ER9" s="925"/>
      <c r="ES9" s="925"/>
      <c r="ET9" s="925"/>
      <c r="EU9" s="925"/>
      <c r="EV9" s="925"/>
      <c r="EW9" s="925"/>
      <c r="EX9" s="925"/>
      <c r="EY9" s="925"/>
      <c r="EZ9" s="925"/>
      <c r="FA9" s="925"/>
      <c r="FB9" s="925"/>
      <c r="FC9" s="925"/>
      <c r="FD9" s="925"/>
      <c r="FE9" s="925"/>
      <c r="FF9" s="925"/>
      <c r="FG9" s="925"/>
      <c r="FH9" s="925"/>
      <c r="FI9" s="925"/>
      <c r="FJ9" s="925"/>
      <c r="FK9" s="925"/>
      <c r="FL9" s="925"/>
      <c r="FM9" s="925"/>
      <c r="FN9" s="925"/>
      <c r="FO9" s="925"/>
      <c r="FP9" s="925"/>
      <c r="FQ9" s="925"/>
      <c r="FR9" s="925"/>
      <c r="FS9" s="925"/>
      <c r="FT9" s="925"/>
      <c r="FU9" s="925"/>
      <c r="FV9" s="925"/>
      <c r="FW9" s="925"/>
      <c r="FX9" s="925"/>
      <c r="FY9" s="925"/>
      <c r="FZ9" s="925"/>
      <c r="GA9" s="925"/>
      <c r="GB9" s="925"/>
      <c r="GC9" s="925"/>
      <c r="GD9" s="925"/>
      <c r="GE9" s="925"/>
      <c r="GF9" s="925"/>
      <c r="GG9" s="925"/>
      <c r="GH9" s="925"/>
      <c r="GI9" s="925"/>
      <c r="GJ9" s="925"/>
      <c r="GK9" s="925"/>
      <c r="GL9" s="925"/>
      <c r="GM9" s="925"/>
      <c r="GN9" s="925"/>
      <c r="GO9" s="925"/>
      <c r="GP9" s="925"/>
      <c r="GQ9" s="925"/>
      <c r="GR9" s="925"/>
      <c r="GS9" s="925"/>
      <c r="GT9" s="925"/>
      <c r="GU9" s="925"/>
      <c r="GV9" s="925"/>
      <c r="GW9" s="925"/>
      <c r="GX9" s="925"/>
      <c r="GY9" s="925"/>
      <c r="GZ9" s="925"/>
      <c r="HA9" s="925"/>
      <c r="HB9" s="925"/>
      <c r="HC9" s="925"/>
      <c r="HD9" s="925"/>
      <c r="HE9" s="925"/>
      <c r="HF9" s="925"/>
      <c r="HG9" s="925"/>
      <c r="HH9" s="925"/>
      <c r="HI9" s="925"/>
      <c r="HJ9" s="925"/>
      <c r="HK9" s="925"/>
      <c r="HL9" s="925"/>
      <c r="HM9" s="925"/>
      <c r="HN9" s="925"/>
      <c r="HO9" s="925"/>
      <c r="HP9" s="925"/>
      <c r="HQ9" s="925"/>
      <c r="HR9" s="925"/>
      <c r="HS9" s="925"/>
      <c r="HT9" s="925"/>
      <c r="HU9" s="925"/>
      <c r="HV9" s="925"/>
      <c r="HW9" s="925"/>
      <c r="HX9" s="925"/>
      <c r="HY9" s="925"/>
      <c r="HZ9" s="925"/>
      <c r="IA9" s="925"/>
      <c r="IB9" s="925"/>
      <c r="IC9" s="925"/>
      <c r="ID9" s="925"/>
      <c r="IE9" s="925"/>
      <c r="IF9" s="925"/>
      <c r="IG9" s="925"/>
      <c r="IH9" s="925"/>
      <c r="II9" s="925"/>
      <c r="IJ9" s="925"/>
      <c r="IK9" s="925"/>
      <c r="IL9" s="925"/>
      <c r="IM9" s="925"/>
      <c r="IN9" s="925"/>
      <c r="IO9" s="925"/>
      <c r="IP9" s="925"/>
      <c r="IQ9" s="925"/>
      <c r="IR9" s="925"/>
      <c r="IS9" s="925"/>
      <c r="IT9" s="925"/>
      <c r="IU9" s="925"/>
      <c r="IV9" s="925"/>
    </row>
    <row r="10" s="923" customFormat="1" ht="15" customHeight="1" spans="1:256">
      <c r="A10" s="937" t="s">
        <v>326</v>
      </c>
      <c r="B10" s="938">
        <f>表外数据录入!C10</f>
        <v>0</v>
      </c>
      <c r="C10" s="939"/>
      <c r="D10" s="940"/>
      <c r="E10" s="940"/>
      <c r="F10" s="940"/>
      <c r="G10" s="940"/>
      <c r="H10" s="941"/>
      <c r="I10" s="925"/>
      <c r="J10" s="925"/>
      <c r="K10" s="925"/>
      <c r="L10" s="925"/>
      <c r="M10" s="925"/>
      <c r="N10" s="925"/>
      <c r="O10" s="925"/>
      <c r="P10" s="925"/>
      <c r="Q10" s="925"/>
      <c r="R10" s="925"/>
      <c r="S10" s="925"/>
      <c r="T10" s="925"/>
      <c r="U10" s="925"/>
      <c r="V10" s="925"/>
      <c r="W10" s="925"/>
      <c r="X10" s="925"/>
      <c r="Y10" s="925"/>
      <c r="Z10" s="925"/>
      <c r="AA10" s="925"/>
      <c r="AB10" s="925"/>
      <c r="AC10" s="925"/>
      <c r="AD10" s="925"/>
      <c r="AE10" s="925"/>
      <c r="AF10" s="925"/>
      <c r="AG10" s="925"/>
      <c r="AH10" s="925"/>
      <c r="AI10" s="925"/>
      <c r="AJ10" s="925"/>
      <c r="AK10" s="925"/>
      <c r="AL10" s="925"/>
      <c r="AM10" s="925"/>
      <c r="AN10" s="925"/>
      <c r="AO10" s="925"/>
      <c r="AP10" s="925"/>
      <c r="AQ10" s="925"/>
      <c r="AR10" s="925"/>
      <c r="AS10" s="925"/>
      <c r="AT10" s="925"/>
      <c r="AU10" s="925"/>
      <c r="AV10" s="925"/>
      <c r="AW10" s="925"/>
      <c r="AX10" s="925"/>
      <c r="AY10" s="925"/>
      <c r="AZ10" s="925"/>
      <c r="BA10" s="925"/>
      <c r="BB10" s="925"/>
      <c r="BC10" s="925"/>
      <c r="BD10" s="925"/>
      <c r="BE10" s="925"/>
      <c r="BF10" s="925"/>
      <c r="BG10" s="925"/>
      <c r="BH10" s="925"/>
      <c r="BI10" s="925"/>
      <c r="BJ10" s="925"/>
      <c r="BK10" s="925"/>
      <c r="BL10" s="925"/>
      <c r="BM10" s="925"/>
      <c r="BN10" s="925"/>
      <c r="BO10" s="925"/>
      <c r="BP10" s="925"/>
      <c r="BQ10" s="925"/>
      <c r="BR10" s="925"/>
      <c r="BS10" s="925"/>
      <c r="BT10" s="925"/>
      <c r="BU10" s="925"/>
      <c r="BV10" s="925"/>
      <c r="BW10" s="925"/>
      <c r="BX10" s="925"/>
      <c r="BY10" s="925"/>
      <c r="BZ10" s="925"/>
      <c r="CA10" s="925"/>
      <c r="CB10" s="925"/>
      <c r="CC10" s="925"/>
      <c r="CD10" s="925"/>
      <c r="CE10" s="925"/>
      <c r="CF10" s="925"/>
      <c r="CG10" s="925"/>
      <c r="CH10" s="925"/>
      <c r="CI10" s="925"/>
      <c r="CJ10" s="925"/>
      <c r="CK10" s="925"/>
      <c r="CL10" s="925"/>
      <c r="CM10" s="925"/>
      <c r="CN10" s="925"/>
      <c r="CO10" s="925"/>
      <c r="CP10" s="925"/>
      <c r="CQ10" s="925"/>
      <c r="CR10" s="925"/>
      <c r="CS10" s="925"/>
      <c r="CT10" s="925"/>
      <c r="CU10" s="925"/>
      <c r="CV10" s="925"/>
      <c r="CW10" s="925"/>
      <c r="CX10" s="925"/>
      <c r="CY10" s="925"/>
      <c r="CZ10" s="925"/>
      <c r="DA10" s="925"/>
      <c r="DB10" s="925"/>
      <c r="DC10" s="925"/>
      <c r="DD10" s="925"/>
      <c r="DE10" s="925"/>
      <c r="DF10" s="925"/>
      <c r="DG10" s="925"/>
      <c r="DH10" s="925"/>
      <c r="DI10" s="925"/>
      <c r="DJ10" s="925"/>
      <c r="DK10" s="925"/>
      <c r="DL10" s="925"/>
      <c r="DM10" s="925"/>
      <c r="DN10" s="925"/>
      <c r="DO10" s="925"/>
      <c r="DP10" s="925"/>
      <c r="DQ10" s="925"/>
      <c r="DR10" s="925"/>
      <c r="DS10" s="925"/>
      <c r="DT10" s="925"/>
      <c r="DU10" s="925"/>
      <c r="DV10" s="925"/>
      <c r="DW10" s="925"/>
      <c r="DX10" s="925"/>
      <c r="DY10" s="925"/>
      <c r="DZ10" s="925"/>
      <c r="EA10" s="925"/>
      <c r="EB10" s="925"/>
      <c r="EC10" s="925"/>
      <c r="ED10" s="925"/>
      <c r="EE10" s="925"/>
      <c r="EF10" s="925"/>
      <c r="EG10" s="925"/>
      <c r="EH10" s="925"/>
      <c r="EI10" s="925"/>
      <c r="EJ10" s="925"/>
      <c r="EK10" s="925"/>
      <c r="EL10" s="925"/>
      <c r="EM10" s="925"/>
      <c r="EN10" s="925"/>
      <c r="EO10" s="925"/>
      <c r="EP10" s="925"/>
      <c r="EQ10" s="925"/>
      <c r="ER10" s="925"/>
      <c r="ES10" s="925"/>
      <c r="ET10" s="925"/>
      <c r="EU10" s="925"/>
      <c r="EV10" s="925"/>
      <c r="EW10" s="925"/>
      <c r="EX10" s="925"/>
      <c r="EY10" s="925"/>
      <c r="EZ10" s="925"/>
      <c r="FA10" s="925"/>
      <c r="FB10" s="925"/>
      <c r="FC10" s="925"/>
      <c r="FD10" s="925"/>
      <c r="FE10" s="925"/>
      <c r="FF10" s="925"/>
      <c r="FG10" s="925"/>
      <c r="FH10" s="925"/>
      <c r="FI10" s="925"/>
      <c r="FJ10" s="925"/>
      <c r="FK10" s="925"/>
      <c r="FL10" s="925"/>
      <c r="FM10" s="925"/>
      <c r="FN10" s="925"/>
      <c r="FO10" s="925"/>
      <c r="FP10" s="925"/>
      <c r="FQ10" s="925"/>
      <c r="FR10" s="925"/>
      <c r="FS10" s="925"/>
      <c r="FT10" s="925"/>
      <c r="FU10" s="925"/>
      <c r="FV10" s="925"/>
      <c r="FW10" s="925"/>
      <c r="FX10" s="925"/>
      <c r="FY10" s="925"/>
      <c r="FZ10" s="925"/>
      <c r="GA10" s="925"/>
      <c r="GB10" s="925"/>
      <c r="GC10" s="925"/>
      <c r="GD10" s="925"/>
      <c r="GE10" s="925"/>
      <c r="GF10" s="925"/>
      <c r="GG10" s="925"/>
      <c r="GH10" s="925"/>
      <c r="GI10" s="925"/>
      <c r="GJ10" s="925"/>
      <c r="GK10" s="925"/>
      <c r="GL10" s="925"/>
      <c r="GM10" s="925"/>
      <c r="GN10" s="925"/>
      <c r="GO10" s="925"/>
      <c r="GP10" s="925"/>
      <c r="GQ10" s="925"/>
      <c r="GR10" s="925"/>
      <c r="GS10" s="925"/>
      <c r="GT10" s="925"/>
      <c r="GU10" s="925"/>
      <c r="GV10" s="925"/>
      <c r="GW10" s="925"/>
      <c r="GX10" s="925"/>
      <c r="GY10" s="925"/>
      <c r="GZ10" s="925"/>
      <c r="HA10" s="925"/>
      <c r="HB10" s="925"/>
      <c r="HC10" s="925"/>
      <c r="HD10" s="925"/>
      <c r="HE10" s="925"/>
      <c r="HF10" s="925"/>
      <c r="HG10" s="925"/>
      <c r="HH10" s="925"/>
      <c r="HI10" s="925"/>
      <c r="HJ10" s="925"/>
      <c r="HK10" s="925"/>
      <c r="HL10" s="925"/>
      <c r="HM10" s="925"/>
      <c r="HN10" s="925"/>
      <c r="HO10" s="925"/>
      <c r="HP10" s="925"/>
      <c r="HQ10" s="925"/>
      <c r="HR10" s="925"/>
      <c r="HS10" s="925"/>
      <c r="HT10" s="925"/>
      <c r="HU10" s="925"/>
      <c r="HV10" s="925"/>
      <c r="HW10" s="925"/>
      <c r="HX10" s="925"/>
      <c r="HY10" s="925"/>
      <c r="HZ10" s="925"/>
      <c r="IA10" s="925"/>
      <c r="IB10" s="925"/>
      <c r="IC10" s="925"/>
      <c r="ID10" s="925"/>
      <c r="IE10" s="925"/>
      <c r="IF10" s="925"/>
      <c r="IG10" s="925"/>
      <c r="IH10" s="925"/>
      <c r="II10" s="925"/>
      <c r="IJ10" s="925"/>
      <c r="IK10" s="925"/>
      <c r="IL10" s="925"/>
      <c r="IM10" s="925"/>
      <c r="IN10" s="925"/>
      <c r="IO10" s="925"/>
      <c r="IP10" s="925"/>
      <c r="IQ10" s="925"/>
      <c r="IR10" s="925"/>
      <c r="IS10" s="925"/>
      <c r="IT10" s="925"/>
      <c r="IU10" s="925"/>
      <c r="IV10" s="925"/>
    </row>
    <row r="11" s="923" customFormat="1" ht="15" customHeight="1" spans="1:256">
      <c r="A11" s="937" t="s">
        <v>327</v>
      </c>
      <c r="B11" s="938">
        <f>表外数据录入!C34</f>
        <v>71465.25</v>
      </c>
      <c r="C11" s="939"/>
      <c r="D11" s="940">
        <v>3</v>
      </c>
      <c r="E11" s="940" t="s">
        <v>318</v>
      </c>
      <c r="F11" s="940" t="s">
        <v>318</v>
      </c>
      <c r="G11" s="940" t="s">
        <v>318</v>
      </c>
      <c r="H11" s="941" t="s">
        <v>328</v>
      </c>
      <c r="I11" s="925"/>
      <c r="J11" s="925"/>
      <c r="K11" s="925"/>
      <c r="L11" s="925"/>
      <c r="M11" s="925"/>
      <c r="N11" s="925"/>
      <c r="O11" s="925"/>
      <c r="P11" s="925"/>
      <c r="Q11" s="925"/>
      <c r="R11" s="925"/>
      <c r="S11" s="925"/>
      <c r="T11" s="925"/>
      <c r="U11" s="925"/>
      <c r="V11" s="925"/>
      <c r="W11" s="925"/>
      <c r="X11" s="925"/>
      <c r="Y11" s="925"/>
      <c r="Z11" s="925"/>
      <c r="AA11" s="925"/>
      <c r="AB11" s="925"/>
      <c r="AC11" s="925"/>
      <c r="AD11" s="925"/>
      <c r="AE11" s="925"/>
      <c r="AF11" s="925"/>
      <c r="AG11" s="925"/>
      <c r="AH11" s="925"/>
      <c r="AI11" s="925"/>
      <c r="AJ11" s="925"/>
      <c r="AK11" s="925"/>
      <c r="AL11" s="925"/>
      <c r="AM11" s="925"/>
      <c r="AN11" s="925"/>
      <c r="AO11" s="925"/>
      <c r="AP11" s="925"/>
      <c r="AQ11" s="925"/>
      <c r="AR11" s="925"/>
      <c r="AS11" s="925"/>
      <c r="AT11" s="925"/>
      <c r="AU11" s="925"/>
      <c r="AV11" s="925"/>
      <c r="AW11" s="925"/>
      <c r="AX11" s="925"/>
      <c r="AY11" s="925"/>
      <c r="AZ11" s="925"/>
      <c r="BA11" s="925"/>
      <c r="BB11" s="925"/>
      <c r="BC11" s="925"/>
      <c r="BD11" s="925"/>
      <c r="BE11" s="925"/>
      <c r="BF11" s="925"/>
      <c r="BG11" s="925"/>
      <c r="BH11" s="925"/>
      <c r="BI11" s="925"/>
      <c r="BJ11" s="925"/>
      <c r="BK11" s="925"/>
      <c r="BL11" s="925"/>
      <c r="BM11" s="925"/>
      <c r="BN11" s="925"/>
      <c r="BO11" s="925"/>
      <c r="BP11" s="925"/>
      <c r="BQ11" s="925"/>
      <c r="BR11" s="925"/>
      <c r="BS11" s="925"/>
      <c r="BT11" s="925"/>
      <c r="BU11" s="925"/>
      <c r="BV11" s="925"/>
      <c r="BW11" s="925"/>
      <c r="BX11" s="925"/>
      <c r="BY11" s="925"/>
      <c r="BZ11" s="925"/>
      <c r="CA11" s="925"/>
      <c r="CB11" s="925"/>
      <c r="CC11" s="925"/>
      <c r="CD11" s="925"/>
      <c r="CE11" s="925"/>
      <c r="CF11" s="925"/>
      <c r="CG11" s="925"/>
      <c r="CH11" s="925"/>
      <c r="CI11" s="925"/>
      <c r="CJ11" s="925"/>
      <c r="CK11" s="925"/>
      <c r="CL11" s="925"/>
      <c r="CM11" s="925"/>
      <c r="CN11" s="925"/>
      <c r="CO11" s="925"/>
      <c r="CP11" s="925"/>
      <c r="CQ11" s="925"/>
      <c r="CR11" s="925"/>
      <c r="CS11" s="925"/>
      <c r="CT11" s="925"/>
      <c r="CU11" s="925"/>
      <c r="CV11" s="925"/>
      <c r="CW11" s="925"/>
      <c r="CX11" s="925"/>
      <c r="CY11" s="925"/>
      <c r="CZ11" s="925"/>
      <c r="DA11" s="925"/>
      <c r="DB11" s="925"/>
      <c r="DC11" s="925"/>
      <c r="DD11" s="925"/>
      <c r="DE11" s="925"/>
      <c r="DF11" s="925"/>
      <c r="DG11" s="925"/>
      <c r="DH11" s="925"/>
      <c r="DI11" s="925"/>
      <c r="DJ11" s="925"/>
      <c r="DK11" s="925"/>
      <c r="DL11" s="925"/>
      <c r="DM11" s="925"/>
      <c r="DN11" s="925"/>
      <c r="DO11" s="925"/>
      <c r="DP11" s="925"/>
      <c r="DQ11" s="925"/>
      <c r="DR11" s="925"/>
      <c r="DS11" s="925"/>
      <c r="DT11" s="925"/>
      <c r="DU11" s="925"/>
      <c r="DV11" s="925"/>
      <c r="DW11" s="925"/>
      <c r="DX11" s="925"/>
      <c r="DY11" s="925"/>
      <c r="DZ11" s="925"/>
      <c r="EA11" s="925"/>
      <c r="EB11" s="925"/>
      <c r="EC11" s="925"/>
      <c r="ED11" s="925"/>
      <c r="EE11" s="925"/>
      <c r="EF11" s="925"/>
      <c r="EG11" s="925"/>
      <c r="EH11" s="925"/>
      <c r="EI11" s="925"/>
      <c r="EJ11" s="925"/>
      <c r="EK11" s="925"/>
      <c r="EL11" s="925"/>
      <c r="EM11" s="925"/>
      <c r="EN11" s="925"/>
      <c r="EO11" s="925"/>
      <c r="EP11" s="925"/>
      <c r="EQ11" s="925"/>
      <c r="ER11" s="925"/>
      <c r="ES11" s="925"/>
      <c r="ET11" s="925"/>
      <c r="EU11" s="925"/>
      <c r="EV11" s="925"/>
      <c r="EW11" s="925"/>
      <c r="EX11" s="925"/>
      <c r="EY11" s="925"/>
      <c r="EZ11" s="925"/>
      <c r="FA11" s="925"/>
      <c r="FB11" s="925"/>
      <c r="FC11" s="925"/>
      <c r="FD11" s="925"/>
      <c r="FE11" s="925"/>
      <c r="FF11" s="925"/>
      <c r="FG11" s="925"/>
      <c r="FH11" s="925"/>
      <c r="FI11" s="925"/>
      <c r="FJ11" s="925"/>
      <c r="FK11" s="925"/>
      <c r="FL11" s="925"/>
      <c r="FM11" s="925"/>
      <c r="FN11" s="925"/>
      <c r="FO11" s="925"/>
      <c r="FP11" s="925"/>
      <c r="FQ11" s="925"/>
      <c r="FR11" s="925"/>
      <c r="FS11" s="925"/>
      <c r="FT11" s="925"/>
      <c r="FU11" s="925"/>
      <c r="FV11" s="925"/>
      <c r="FW11" s="925"/>
      <c r="FX11" s="925"/>
      <c r="FY11" s="925"/>
      <c r="FZ11" s="925"/>
      <c r="GA11" s="925"/>
      <c r="GB11" s="925"/>
      <c r="GC11" s="925"/>
      <c r="GD11" s="925"/>
      <c r="GE11" s="925"/>
      <c r="GF11" s="925"/>
      <c r="GG11" s="925"/>
      <c r="GH11" s="925"/>
      <c r="GI11" s="925"/>
      <c r="GJ11" s="925"/>
      <c r="GK11" s="925"/>
      <c r="GL11" s="925"/>
      <c r="GM11" s="925"/>
      <c r="GN11" s="925"/>
      <c r="GO11" s="925"/>
      <c r="GP11" s="925"/>
      <c r="GQ11" s="925"/>
      <c r="GR11" s="925"/>
      <c r="GS11" s="925"/>
      <c r="GT11" s="925"/>
      <c r="GU11" s="925"/>
      <c r="GV11" s="925"/>
      <c r="GW11" s="925"/>
      <c r="GX11" s="925"/>
      <c r="GY11" s="925"/>
      <c r="GZ11" s="925"/>
      <c r="HA11" s="925"/>
      <c r="HB11" s="925"/>
      <c r="HC11" s="925"/>
      <c r="HD11" s="925"/>
      <c r="HE11" s="925"/>
      <c r="HF11" s="925"/>
      <c r="HG11" s="925"/>
      <c r="HH11" s="925"/>
      <c r="HI11" s="925"/>
      <c r="HJ11" s="925"/>
      <c r="HK11" s="925"/>
      <c r="HL11" s="925"/>
      <c r="HM11" s="925"/>
      <c r="HN11" s="925"/>
      <c r="HO11" s="925"/>
      <c r="HP11" s="925"/>
      <c r="HQ11" s="925"/>
      <c r="HR11" s="925"/>
      <c r="HS11" s="925"/>
      <c r="HT11" s="925"/>
      <c r="HU11" s="925"/>
      <c r="HV11" s="925"/>
      <c r="HW11" s="925"/>
      <c r="HX11" s="925"/>
      <c r="HY11" s="925"/>
      <c r="HZ11" s="925"/>
      <c r="IA11" s="925"/>
      <c r="IB11" s="925"/>
      <c r="IC11" s="925"/>
      <c r="ID11" s="925"/>
      <c r="IE11" s="925"/>
      <c r="IF11" s="925"/>
      <c r="IG11" s="925"/>
      <c r="IH11" s="925"/>
      <c r="II11" s="925"/>
      <c r="IJ11" s="925"/>
      <c r="IK11" s="925"/>
      <c r="IL11" s="925"/>
      <c r="IM11" s="925"/>
      <c r="IN11" s="925"/>
      <c r="IO11" s="925"/>
      <c r="IP11" s="925"/>
      <c r="IQ11" s="925"/>
      <c r="IR11" s="925"/>
      <c r="IS11" s="925"/>
      <c r="IT11" s="925"/>
      <c r="IU11" s="925"/>
      <c r="IV11" s="925"/>
    </row>
    <row r="12" s="923" customFormat="1" ht="15" customHeight="1" spans="1:256">
      <c r="A12" s="937" t="s">
        <v>329</v>
      </c>
      <c r="B12" s="938" t="str">
        <f>IF(((资产负债表!B13-资产负债表!C13)+利润表!B18+利润表!B10+利润表!B9+(B34-利润表!B11)-B10-B50-表外数据录入!C48-表外数据录入!C32)&gt;=0,ABS(((资产负债表!B13-资产负债表!C13)+利润表!B18+利润表!B10+利润表!B9+(B34-利润表!B11)-B10-B50-表外数据录入!C48-表外数据录入!C32)*0.8),"")</f>
        <v/>
      </c>
      <c r="C12" s="939"/>
      <c r="D12" s="940"/>
      <c r="E12" s="940"/>
      <c r="F12" s="940"/>
      <c r="G12" s="940"/>
      <c r="H12" s="941"/>
      <c r="I12" s="925"/>
      <c r="J12" s="925"/>
      <c r="K12" s="925"/>
      <c r="L12" s="925"/>
      <c r="M12" s="925"/>
      <c r="N12" s="925"/>
      <c r="O12" s="925"/>
      <c r="P12" s="925"/>
      <c r="Q12" s="925"/>
      <c r="R12" s="925"/>
      <c r="S12" s="925"/>
      <c r="T12" s="925"/>
      <c r="U12" s="925"/>
      <c r="V12" s="925"/>
      <c r="W12" s="925"/>
      <c r="X12" s="925"/>
      <c r="Y12" s="925"/>
      <c r="Z12" s="925"/>
      <c r="AA12" s="925"/>
      <c r="AB12" s="925"/>
      <c r="AC12" s="925"/>
      <c r="AD12" s="925"/>
      <c r="AE12" s="925"/>
      <c r="AF12" s="925"/>
      <c r="AG12" s="925"/>
      <c r="AH12" s="925"/>
      <c r="AI12" s="925"/>
      <c r="AJ12" s="925"/>
      <c r="AK12" s="925"/>
      <c r="AL12" s="925"/>
      <c r="AM12" s="925"/>
      <c r="AN12" s="925"/>
      <c r="AO12" s="925"/>
      <c r="AP12" s="925"/>
      <c r="AQ12" s="925"/>
      <c r="AR12" s="925"/>
      <c r="AS12" s="925"/>
      <c r="AT12" s="925"/>
      <c r="AU12" s="925"/>
      <c r="AV12" s="925"/>
      <c r="AW12" s="925"/>
      <c r="AX12" s="925"/>
      <c r="AY12" s="925"/>
      <c r="AZ12" s="925"/>
      <c r="BA12" s="925"/>
      <c r="BB12" s="925"/>
      <c r="BC12" s="925"/>
      <c r="BD12" s="925"/>
      <c r="BE12" s="925"/>
      <c r="BF12" s="925"/>
      <c r="BG12" s="925"/>
      <c r="BH12" s="925"/>
      <c r="BI12" s="925"/>
      <c r="BJ12" s="925"/>
      <c r="BK12" s="925"/>
      <c r="BL12" s="925"/>
      <c r="BM12" s="925"/>
      <c r="BN12" s="925"/>
      <c r="BO12" s="925"/>
      <c r="BP12" s="925"/>
      <c r="BQ12" s="925"/>
      <c r="BR12" s="925"/>
      <c r="BS12" s="925"/>
      <c r="BT12" s="925"/>
      <c r="BU12" s="925"/>
      <c r="BV12" s="925"/>
      <c r="BW12" s="925"/>
      <c r="BX12" s="925"/>
      <c r="BY12" s="925"/>
      <c r="BZ12" s="925"/>
      <c r="CA12" s="925"/>
      <c r="CB12" s="925"/>
      <c r="CC12" s="925"/>
      <c r="CD12" s="925"/>
      <c r="CE12" s="925"/>
      <c r="CF12" s="925"/>
      <c r="CG12" s="925"/>
      <c r="CH12" s="925"/>
      <c r="CI12" s="925"/>
      <c r="CJ12" s="925"/>
      <c r="CK12" s="925"/>
      <c r="CL12" s="925"/>
      <c r="CM12" s="925"/>
      <c r="CN12" s="925"/>
      <c r="CO12" s="925"/>
      <c r="CP12" s="925"/>
      <c r="CQ12" s="925"/>
      <c r="CR12" s="925"/>
      <c r="CS12" s="925"/>
      <c r="CT12" s="925"/>
      <c r="CU12" s="925"/>
      <c r="CV12" s="925"/>
      <c r="CW12" s="925"/>
      <c r="CX12" s="925"/>
      <c r="CY12" s="925"/>
      <c r="CZ12" s="925"/>
      <c r="DA12" s="925"/>
      <c r="DB12" s="925"/>
      <c r="DC12" s="925"/>
      <c r="DD12" s="925"/>
      <c r="DE12" s="925"/>
      <c r="DF12" s="925"/>
      <c r="DG12" s="925"/>
      <c r="DH12" s="925"/>
      <c r="DI12" s="925"/>
      <c r="DJ12" s="925"/>
      <c r="DK12" s="925"/>
      <c r="DL12" s="925"/>
      <c r="DM12" s="925"/>
      <c r="DN12" s="925"/>
      <c r="DO12" s="925"/>
      <c r="DP12" s="925"/>
      <c r="DQ12" s="925"/>
      <c r="DR12" s="925"/>
      <c r="DS12" s="925"/>
      <c r="DT12" s="925"/>
      <c r="DU12" s="925"/>
      <c r="DV12" s="925"/>
      <c r="DW12" s="925"/>
      <c r="DX12" s="925"/>
      <c r="DY12" s="925"/>
      <c r="DZ12" s="925"/>
      <c r="EA12" s="925"/>
      <c r="EB12" s="925"/>
      <c r="EC12" s="925"/>
      <c r="ED12" s="925"/>
      <c r="EE12" s="925"/>
      <c r="EF12" s="925"/>
      <c r="EG12" s="925"/>
      <c r="EH12" s="925"/>
      <c r="EI12" s="925"/>
      <c r="EJ12" s="925"/>
      <c r="EK12" s="925"/>
      <c r="EL12" s="925"/>
      <c r="EM12" s="925"/>
      <c r="EN12" s="925"/>
      <c r="EO12" s="925"/>
      <c r="EP12" s="925"/>
      <c r="EQ12" s="925"/>
      <c r="ER12" s="925"/>
      <c r="ES12" s="925"/>
      <c r="ET12" s="925"/>
      <c r="EU12" s="925"/>
      <c r="EV12" s="925"/>
      <c r="EW12" s="925"/>
      <c r="EX12" s="925"/>
      <c r="EY12" s="925"/>
      <c r="EZ12" s="925"/>
      <c r="FA12" s="925"/>
      <c r="FB12" s="925"/>
      <c r="FC12" s="925"/>
      <c r="FD12" s="925"/>
      <c r="FE12" s="925"/>
      <c r="FF12" s="925"/>
      <c r="FG12" s="925"/>
      <c r="FH12" s="925"/>
      <c r="FI12" s="925"/>
      <c r="FJ12" s="925"/>
      <c r="FK12" s="925"/>
      <c r="FL12" s="925"/>
      <c r="FM12" s="925"/>
      <c r="FN12" s="925"/>
      <c r="FO12" s="925"/>
      <c r="FP12" s="925"/>
      <c r="FQ12" s="925"/>
      <c r="FR12" s="925"/>
      <c r="FS12" s="925"/>
      <c r="FT12" s="925"/>
      <c r="FU12" s="925"/>
      <c r="FV12" s="925"/>
      <c r="FW12" s="925"/>
      <c r="FX12" s="925"/>
      <c r="FY12" s="925"/>
      <c r="FZ12" s="925"/>
      <c r="GA12" s="925"/>
      <c r="GB12" s="925"/>
      <c r="GC12" s="925"/>
      <c r="GD12" s="925"/>
      <c r="GE12" s="925"/>
      <c r="GF12" s="925"/>
      <c r="GG12" s="925"/>
      <c r="GH12" s="925"/>
      <c r="GI12" s="925"/>
      <c r="GJ12" s="925"/>
      <c r="GK12" s="925"/>
      <c r="GL12" s="925"/>
      <c r="GM12" s="925"/>
      <c r="GN12" s="925"/>
      <c r="GO12" s="925"/>
      <c r="GP12" s="925"/>
      <c r="GQ12" s="925"/>
      <c r="GR12" s="925"/>
      <c r="GS12" s="925"/>
      <c r="GT12" s="925"/>
      <c r="GU12" s="925"/>
      <c r="GV12" s="925"/>
      <c r="GW12" s="925"/>
      <c r="GX12" s="925"/>
      <c r="GY12" s="925"/>
      <c r="GZ12" s="925"/>
      <c r="HA12" s="925"/>
      <c r="HB12" s="925"/>
      <c r="HC12" s="925"/>
      <c r="HD12" s="925"/>
      <c r="HE12" s="925"/>
      <c r="HF12" s="925"/>
      <c r="HG12" s="925"/>
      <c r="HH12" s="925"/>
      <c r="HI12" s="925"/>
      <c r="HJ12" s="925"/>
      <c r="HK12" s="925"/>
      <c r="HL12" s="925"/>
      <c r="HM12" s="925"/>
      <c r="HN12" s="925"/>
      <c r="HO12" s="925"/>
      <c r="HP12" s="925"/>
      <c r="HQ12" s="925"/>
      <c r="HR12" s="925"/>
      <c r="HS12" s="925"/>
      <c r="HT12" s="925"/>
      <c r="HU12" s="925"/>
      <c r="HV12" s="925"/>
      <c r="HW12" s="925"/>
      <c r="HX12" s="925"/>
      <c r="HY12" s="925"/>
      <c r="HZ12" s="925"/>
      <c r="IA12" s="925"/>
      <c r="IB12" s="925"/>
      <c r="IC12" s="925"/>
      <c r="ID12" s="925"/>
      <c r="IE12" s="925"/>
      <c r="IF12" s="925"/>
      <c r="IG12" s="925"/>
      <c r="IH12" s="925"/>
      <c r="II12" s="925"/>
      <c r="IJ12" s="925"/>
      <c r="IK12" s="925"/>
      <c r="IL12" s="925"/>
      <c r="IM12" s="925"/>
      <c r="IN12" s="925"/>
      <c r="IO12" s="925"/>
      <c r="IP12" s="925"/>
      <c r="IQ12" s="925"/>
      <c r="IR12" s="925"/>
      <c r="IS12" s="925"/>
      <c r="IT12" s="925"/>
      <c r="IU12" s="925"/>
      <c r="IV12" s="925"/>
    </row>
    <row r="13" s="923" customFormat="1" ht="15" customHeight="1" spans="1:256">
      <c r="A13" s="942" t="s">
        <v>330</v>
      </c>
      <c r="B13" s="938">
        <f>SUM(B9:B12)</f>
        <v>487246.25</v>
      </c>
      <c r="C13" s="938">
        <f>SUM(C9:C12)</f>
        <v>0</v>
      </c>
      <c r="D13" s="940">
        <v>4</v>
      </c>
      <c r="E13" s="940" t="s">
        <v>318</v>
      </c>
      <c r="F13" s="940" t="s">
        <v>318</v>
      </c>
      <c r="G13" s="940" t="s">
        <v>319</v>
      </c>
      <c r="H13" s="941" t="s">
        <v>331</v>
      </c>
      <c r="I13" s="925"/>
      <c r="J13" s="925"/>
      <c r="K13" s="925"/>
      <c r="L13" s="925"/>
      <c r="M13" s="925"/>
      <c r="N13" s="925"/>
      <c r="O13" s="925"/>
      <c r="P13" s="925"/>
      <c r="Q13" s="925"/>
      <c r="R13" s="925"/>
      <c r="S13" s="925"/>
      <c r="T13" s="925"/>
      <c r="U13" s="925"/>
      <c r="V13" s="925"/>
      <c r="W13" s="925"/>
      <c r="X13" s="925"/>
      <c r="Y13" s="925"/>
      <c r="Z13" s="925"/>
      <c r="AA13" s="925"/>
      <c r="AB13" s="925"/>
      <c r="AC13" s="925"/>
      <c r="AD13" s="925"/>
      <c r="AE13" s="925"/>
      <c r="AF13" s="925"/>
      <c r="AG13" s="925"/>
      <c r="AH13" s="925"/>
      <c r="AI13" s="925"/>
      <c r="AJ13" s="925"/>
      <c r="AK13" s="925"/>
      <c r="AL13" s="925"/>
      <c r="AM13" s="925"/>
      <c r="AN13" s="925"/>
      <c r="AO13" s="925"/>
      <c r="AP13" s="925"/>
      <c r="AQ13" s="925"/>
      <c r="AR13" s="925"/>
      <c r="AS13" s="925"/>
      <c r="AT13" s="925"/>
      <c r="AU13" s="925"/>
      <c r="AV13" s="925"/>
      <c r="AW13" s="925"/>
      <c r="AX13" s="925"/>
      <c r="AY13" s="925"/>
      <c r="AZ13" s="925"/>
      <c r="BA13" s="925"/>
      <c r="BB13" s="925"/>
      <c r="BC13" s="925"/>
      <c r="BD13" s="925"/>
      <c r="BE13" s="925"/>
      <c r="BF13" s="925"/>
      <c r="BG13" s="925"/>
      <c r="BH13" s="925"/>
      <c r="BI13" s="925"/>
      <c r="BJ13" s="925"/>
      <c r="BK13" s="925"/>
      <c r="BL13" s="925"/>
      <c r="BM13" s="925"/>
      <c r="BN13" s="925"/>
      <c r="BO13" s="925"/>
      <c r="BP13" s="925"/>
      <c r="BQ13" s="925"/>
      <c r="BR13" s="925"/>
      <c r="BS13" s="925"/>
      <c r="BT13" s="925"/>
      <c r="BU13" s="925"/>
      <c r="BV13" s="925"/>
      <c r="BW13" s="925"/>
      <c r="BX13" s="925"/>
      <c r="BY13" s="925"/>
      <c r="BZ13" s="925"/>
      <c r="CA13" s="925"/>
      <c r="CB13" s="925"/>
      <c r="CC13" s="925"/>
      <c r="CD13" s="925"/>
      <c r="CE13" s="925"/>
      <c r="CF13" s="925"/>
      <c r="CG13" s="925"/>
      <c r="CH13" s="925"/>
      <c r="CI13" s="925"/>
      <c r="CJ13" s="925"/>
      <c r="CK13" s="925"/>
      <c r="CL13" s="925"/>
      <c r="CM13" s="925"/>
      <c r="CN13" s="925"/>
      <c r="CO13" s="925"/>
      <c r="CP13" s="925"/>
      <c r="CQ13" s="925"/>
      <c r="CR13" s="925"/>
      <c r="CS13" s="925"/>
      <c r="CT13" s="925"/>
      <c r="CU13" s="925"/>
      <c r="CV13" s="925"/>
      <c r="CW13" s="925"/>
      <c r="CX13" s="925"/>
      <c r="CY13" s="925"/>
      <c r="CZ13" s="925"/>
      <c r="DA13" s="925"/>
      <c r="DB13" s="925"/>
      <c r="DC13" s="925"/>
      <c r="DD13" s="925"/>
      <c r="DE13" s="925"/>
      <c r="DF13" s="925"/>
      <c r="DG13" s="925"/>
      <c r="DH13" s="925"/>
      <c r="DI13" s="925"/>
      <c r="DJ13" s="925"/>
      <c r="DK13" s="925"/>
      <c r="DL13" s="925"/>
      <c r="DM13" s="925"/>
      <c r="DN13" s="925"/>
      <c r="DO13" s="925"/>
      <c r="DP13" s="925"/>
      <c r="DQ13" s="925"/>
      <c r="DR13" s="925"/>
      <c r="DS13" s="925"/>
      <c r="DT13" s="925"/>
      <c r="DU13" s="925"/>
      <c r="DV13" s="925"/>
      <c r="DW13" s="925"/>
      <c r="DX13" s="925"/>
      <c r="DY13" s="925"/>
      <c r="DZ13" s="925"/>
      <c r="EA13" s="925"/>
      <c r="EB13" s="925"/>
      <c r="EC13" s="925"/>
      <c r="ED13" s="925"/>
      <c r="EE13" s="925"/>
      <c r="EF13" s="925"/>
      <c r="EG13" s="925"/>
      <c r="EH13" s="925"/>
      <c r="EI13" s="925"/>
      <c r="EJ13" s="925"/>
      <c r="EK13" s="925"/>
      <c r="EL13" s="925"/>
      <c r="EM13" s="925"/>
      <c r="EN13" s="925"/>
      <c r="EO13" s="925"/>
      <c r="EP13" s="925"/>
      <c r="EQ13" s="925"/>
      <c r="ER13" s="925"/>
      <c r="ES13" s="925"/>
      <c r="ET13" s="925"/>
      <c r="EU13" s="925"/>
      <c r="EV13" s="925"/>
      <c r="EW13" s="925"/>
      <c r="EX13" s="925"/>
      <c r="EY13" s="925"/>
      <c r="EZ13" s="925"/>
      <c r="FA13" s="925"/>
      <c r="FB13" s="925"/>
      <c r="FC13" s="925"/>
      <c r="FD13" s="925"/>
      <c r="FE13" s="925"/>
      <c r="FF13" s="925"/>
      <c r="FG13" s="925"/>
      <c r="FH13" s="925"/>
      <c r="FI13" s="925"/>
      <c r="FJ13" s="925"/>
      <c r="FK13" s="925"/>
      <c r="FL13" s="925"/>
      <c r="FM13" s="925"/>
      <c r="FN13" s="925"/>
      <c r="FO13" s="925"/>
      <c r="FP13" s="925"/>
      <c r="FQ13" s="925"/>
      <c r="FR13" s="925"/>
      <c r="FS13" s="925"/>
      <c r="FT13" s="925"/>
      <c r="FU13" s="925"/>
      <c r="FV13" s="925"/>
      <c r="FW13" s="925"/>
      <c r="FX13" s="925"/>
      <c r="FY13" s="925"/>
      <c r="FZ13" s="925"/>
      <c r="GA13" s="925"/>
      <c r="GB13" s="925"/>
      <c r="GC13" s="925"/>
      <c r="GD13" s="925"/>
      <c r="GE13" s="925"/>
      <c r="GF13" s="925"/>
      <c r="GG13" s="925"/>
      <c r="GH13" s="925"/>
      <c r="GI13" s="925"/>
      <c r="GJ13" s="925"/>
      <c r="GK13" s="925"/>
      <c r="GL13" s="925"/>
      <c r="GM13" s="925"/>
      <c r="GN13" s="925"/>
      <c r="GO13" s="925"/>
      <c r="GP13" s="925"/>
      <c r="GQ13" s="925"/>
      <c r="GR13" s="925"/>
      <c r="GS13" s="925"/>
      <c r="GT13" s="925"/>
      <c r="GU13" s="925"/>
      <c r="GV13" s="925"/>
      <c r="GW13" s="925"/>
      <c r="GX13" s="925"/>
      <c r="GY13" s="925"/>
      <c r="GZ13" s="925"/>
      <c r="HA13" s="925"/>
      <c r="HB13" s="925"/>
      <c r="HC13" s="925"/>
      <c r="HD13" s="925"/>
      <c r="HE13" s="925"/>
      <c r="HF13" s="925"/>
      <c r="HG13" s="925"/>
      <c r="HH13" s="925"/>
      <c r="HI13" s="925"/>
      <c r="HJ13" s="925"/>
      <c r="HK13" s="925"/>
      <c r="HL13" s="925"/>
      <c r="HM13" s="925"/>
      <c r="HN13" s="925"/>
      <c r="HO13" s="925"/>
      <c r="HP13" s="925"/>
      <c r="HQ13" s="925"/>
      <c r="HR13" s="925"/>
      <c r="HS13" s="925"/>
      <c r="HT13" s="925"/>
      <c r="HU13" s="925"/>
      <c r="HV13" s="925"/>
      <c r="HW13" s="925"/>
      <c r="HX13" s="925"/>
      <c r="HY13" s="925"/>
      <c r="HZ13" s="925"/>
      <c r="IA13" s="925"/>
      <c r="IB13" s="925"/>
      <c r="IC13" s="925"/>
      <c r="ID13" s="925"/>
      <c r="IE13" s="925"/>
      <c r="IF13" s="925"/>
      <c r="IG13" s="925"/>
      <c r="IH13" s="925"/>
      <c r="II13" s="925"/>
      <c r="IJ13" s="925"/>
      <c r="IK13" s="925"/>
      <c r="IL13" s="925"/>
      <c r="IM13" s="925"/>
      <c r="IN13" s="925"/>
      <c r="IO13" s="925"/>
      <c r="IP13" s="925"/>
      <c r="IQ13" s="925"/>
      <c r="IR13" s="925"/>
      <c r="IS13" s="925"/>
      <c r="IT13" s="925"/>
      <c r="IU13" s="925"/>
      <c r="IV13" s="925"/>
    </row>
    <row r="14" s="923" customFormat="1" ht="15" customHeight="1" spans="1:256">
      <c r="A14" s="943" t="s">
        <v>332</v>
      </c>
      <c r="B14" s="938">
        <f>B8-B13</f>
        <v>54762</v>
      </c>
      <c r="C14" s="938">
        <f>C8-C13</f>
        <v>0</v>
      </c>
      <c r="D14" s="940"/>
      <c r="E14" s="940"/>
      <c r="F14" s="940"/>
      <c r="G14" s="940"/>
      <c r="H14" s="941"/>
      <c r="I14" s="925"/>
      <c r="J14" s="925"/>
      <c r="K14" s="925"/>
      <c r="L14" s="925"/>
      <c r="M14" s="925"/>
      <c r="N14" s="925"/>
      <c r="O14" s="925"/>
      <c r="P14" s="925"/>
      <c r="Q14" s="925"/>
      <c r="R14" s="925"/>
      <c r="S14" s="925"/>
      <c r="T14" s="925"/>
      <c r="U14" s="925"/>
      <c r="V14" s="925"/>
      <c r="W14" s="925"/>
      <c r="X14" s="925"/>
      <c r="Y14" s="925"/>
      <c r="Z14" s="925"/>
      <c r="AA14" s="925"/>
      <c r="AB14" s="925"/>
      <c r="AC14" s="925"/>
      <c r="AD14" s="925"/>
      <c r="AE14" s="925"/>
      <c r="AF14" s="925"/>
      <c r="AG14" s="925"/>
      <c r="AH14" s="925"/>
      <c r="AI14" s="925"/>
      <c r="AJ14" s="925"/>
      <c r="AK14" s="925"/>
      <c r="AL14" s="925"/>
      <c r="AM14" s="925"/>
      <c r="AN14" s="925"/>
      <c r="AO14" s="925"/>
      <c r="AP14" s="925"/>
      <c r="AQ14" s="925"/>
      <c r="AR14" s="925"/>
      <c r="AS14" s="925"/>
      <c r="AT14" s="925"/>
      <c r="AU14" s="925"/>
      <c r="AV14" s="925"/>
      <c r="AW14" s="925"/>
      <c r="AX14" s="925"/>
      <c r="AY14" s="925"/>
      <c r="AZ14" s="925"/>
      <c r="BA14" s="925"/>
      <c r="BB14" s="925"/>
      <c r="BC14" s="925"/>
      <c r="BD14" s="925"/>
      <c r="BE14" s="925"/>
      <c r="BF14" s="925"/>
      <c r="BG14" s="925"/>
      <c r="BH14" s="925"/>
      <c r="BI14" s="925"/>
      <c r="BJ14" s="925"/>
      <c r="BK14" s="925"/>
      <c r="BL14" s="925"/>
      <c r="BM14" s="925"/>
      <c r="BN14" s="925"/>
      <c r="BO14" s="925"/>
      <c r="BP14" s="925"/>
      <c r="BQ14" s="925"/>
      <c r="BR14" s="925"/>
      <c r="BS14" s="925"/>
      <c r="BT14" s="925"/>
      <c r="BU14" s="925"/>
      <c r="BV14" s="925"/>
      <c r="BW14" s="925"/>
      <c r="BX14" s="925"/>
      <c r="BY14" s="925"/>
      <c r="BZ14" s="925"/>
      <c r="CA14" s="925"/>
      <c r="CB14" s="925"/>
      <c r="CC14" s="925"/>
      <c r="CD14" s="925"/>
      <c r="CE14" s="925"/>
      <c r="CF14" s="925"/>
      <c r="CG14" s="925"/>
      <c r="CH14" s="925"/>
      <c r="CI14" s="925"/>
      <c r="CJ14" s="925"/>
      <c r="CK14" s="925"/>
      <c r="CL14" s="925"/>
      <c r="CM14" s="925"/>
      <c r="CN14" s="925"/>
      <c r="CO14" s="925"/>
      <c r="CP14" s="925"/>
      <c r="CQ14" s="925"/>
      <c r="CR14" s="925"/>
      <c r="CS14" s="925"/>
      <c r="CT14" s="925"/>
      <c r="CU14" s="925"/>
      <c r="CV14" s="925"/>
      <c r="CW14" s="925"/>
      <c r="CX14" s="925"/>
      <c r="CY14" s="925"/>
      <c r="CZ14" s="925"/>
      <c r="DA14" s="925"/>
      <c r="DB14" s="925"/>
      <c r="DC14" s="925"/>
      <c r="DD14" s="925"/>
      <c r="DE14" s="925"/>
      <c r="DF14" s="925"/>
      <c r="DG14" s="925"/>
      <c r="DH14" s="925"/>
      <c r="DI14" s="925"/>
      <c r="DJ14" s="925"/>
      <c r="DK14" s="925"/>
      <c r="DL14" s="925"/>
      <c r="DM14" s="925"/>
      <c r="DN14" s="925"/>
      <c r="DO14" s="925"/>
      <c r="DP14" s="925"/>
      <c r="DQ14" s="925"/>
      <c r="DR14" s="925"/>
      <c r="DS14" s="925"/>
      <c r="DT14" s="925"/>
      <c r="DU14" s="925"/>
      <c r="DV14" s="925"/>
      <c r="DW14" s="925"/>
      <c r="DX14" s="925"/>
      <c r="DY14" s="925"/>
      <c r="DZ14" s="925"/>
      <c r="EA14" s="925"/>
      <c r="EB14" s="925"/>
      <c r="EC14" s="925"/>
      <c r="ED14" s="925"/>
      <c r="EE14" s="925"/>
      <c r="EF14" s="925"/>
      <c r="EG14" s="925"/>
      <c r="EH14" s="925"/>
      <c r="EI14" s="925"/>
      <c r="EJ14" s="925"/>
      <c r="EK14" s="925"/>
      <c r="EL14" s="925"/>
      <c r="EM14" s="925"/>
      <c r="EN14" s="925"/>
      <c r="EO14" s="925"/>
      <c r="EP14" s="925"/>
      <c r="EQ14" s="925"/>
      <c r="ER14" s="925"/>
      <c r="ES14" s="925"/>
      <c r="ET14" s="925"/>
      <c r="EU14" s="925"/>
      <c r="EV14" s="925"/>
      <c r="EW14" s="925"/>
      <c r="EX14" s="925"/>
      <c r="EY14" s="925"/>
      <c r="EZ14" s="925"/>
      <c r="FA14" s="925"/>
      <c r="FB14" s="925"/>
      <c r="FC14" s="925"/>
      <c r="FD14" s="925"/>
      <c r="FE14" s="925"/>
      <c r="FF14" s="925"/>
      <c r="FG14" s="925"/>
      <c r="FH14" s="925"/>
      <c r="FI14" s="925"/>
      <c r="FJ14" s="925"/>
      <c r="FK14" s="925"/>
      <c r="FL14" s="925"/>
      <c r="FM14" s="925"/>
      <c r="FN14" s="925"/>
      <c r="FO14" s="925"/>
      <c r="FP14" s="925"/>
      <c r="FQ14" s="925"/>
      <c r="FR14" s="925"/>
      <c r="FS14" s="925"/>
      <c r="FT14" s="925"/>
      <c r="FU14" s="925"/>
      <c r="FV14" s="925"/>
      <c r="FW14" s="925"/>
      <c r="FX14" s="925"/>
      <c r="FY14" s="925"/>
      <c r="FZ14" s="925"/>
      <c r="GA14" s="925"/>
      <c r="GB14" s="925"/>
      <c r="GC14" s="925"/>
      <c r="GD14" s="925"/>
      <c r="GE14" s="925"/>
      <c r="GF14" s="925"/>
      <c r="GG14" s="925"/>
      <c r="GH14" s="925"/>
      <c r="GI14" s="925"/>
      <c r="GJ14" s="925"/>
      <c r="GK14" s="925"/>
      <c r="GL14" s="925"/>
      <c r="GM14" s="925"/>
      <c r="GN14" s="925"/>
      <c r="GO14" s="925"/>
      <c r="GP14" s="925"/>
      <c r="GQ14" s="925"/>
      <c r="GR14" s="925"/>
      <c r="GS14" s="925"/>
      <c r="GT14" s="925"/>
      <c r="GU14" s="925"/>
      <c r="GV14" s="925"/>
      <c r="GW14" s="925"/>
      <c r="GX14" s="925"/>
      <c r="GY14" s="925"/>
      <c r="GZ14" s="925"/>
      <c r="HA14" s="925"/>
      <c r="HB14" s="925"/>
      <c r="HC14" s="925"/>
      <c r="HD14" s="925"/>
      <c r="HE14" s="925"/>
      <c r="HF14" s="925"/>
      <c r="HG14" s="925"/>
      <c r="HH14" s="925"/>
      <c r="HI14" s="925"/>
      <c r="HJ14" s="925"/>
      <c r="HK14" s="925"/>
      <c r="HL14" s="925"/>
      <c r="HM14" s="925"/>
      <c r="HN14" s="925"/>
      <c r="HO14" s="925"/>
      <c r="HP14" s="925"/>
      <c r="HQ14" s="925"/>
      <c r="HR14" s="925"/>
      <c r="HS14" s="925"/>
      <c r="HT14" s="925"/>
      <c r="HU14" s="925"/>
      <c r="HV14" s="925"/>
      <c r="HW14" s="925"/>
      <c r="HX14" s="925"/>
      <c r="HY14" s="925"/>
      <c r="HZ14" s="925"/>
      <c r="IA14" s="925"/>
      <c r="IB14" s="925"/>
      <c r="IC14" s="925"/>
      <c r="ID14" s="925"/>
      <c r="IE14" s="925"/>
      <c r="IF14" s="925"/>
      <c r="IG14" s="925"/>
      <c r="IH14" s="925"/>
      <c r="II14" s="925"/>
      <c r="IJ14" s="925"/>
      <c r="IK14" s="925"/>
      <c r="IL14" s="925"/>
      <c r="IM14" s="925"/>
      <c r="IN14" s="925"/>
      <c r="IO14" s="925"/>
      <c r="IP14" s="925"/>
      <c r="IQ14" s="925"/>
      <c r="IR14" s="925"/>
      <c r="IS14" s="925"/>
      <c r="IT14" s="925"/>
      <c r="IU14" s="925"/>
      <c r="IV14" s="925"/>
    </row>
    <row r="15" s="923" customFormat="1" ht="15" customHeight="1" spans="1:256">
      <c r="A15" s="935" t="s">
        <v>333</v>
      </c>
      <c r="B15" s="936"/>
      <c r="C15" s="936"/>
      <c r="D15" s="940"/>
      <c r="E15" s="940"/>
      <c r="F15" s="940"/>
      <c r="G15" s="940"/>
      <c r="H15" s="941"/>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925"/>
      <c r="BZ15" s="925"/>
      <c r="CA15" s="925"/>
      <c r="CB15" s="925"/>
      <c r="CC15" s="925"/>
      <c r="CD15" s="925"/>
      <c r="CE15" s="925"/>
      <c r="CF15" s="925"/>
      <c r="CG15" s="925"/>
      <c r="CH15" s="925"/>
      <c r="CI15" s="925"/>
      <c r="CJ15" s="925"/>
      <c r="CK15" s="925"/>
      <c r="CL15" s="925"/>
      <c r="CM15" s="925"/>
      <c r="CN15" s="925"/>
      <c r="CO15" s="925"/>
      <c r="CP15" s="925"/>
      <c r="CQ15" s="925"/>
      <c r="CR15" s="925"/>
      <c r="CS15" s="925"/>
      <c r="CT15" s="925"/>
      <c r="CU15" s="925"/>
      <c r="CV15" s="925"/>
      <c r="CW15" s="925"/>
      <c r="CX15" s="925"/>
      <c r="CY15" s="925"/>
      <c r="CZ15" s="925"/>
      <c r="DA15" s="925"/>
      <c r="DB15" s="925"/>
      <c r="DC15" s="925"/>
      <c r="DD15" s="925"/>
      <c r="DE15" s="925"/>
      <c r="DF15" s="925"/>
      <c r="DG15" s="925"/>
      <c r="DH15" s="925"/>
      <c r="DI15" s="925"/>
      <c r="DJ15" s="925"/>
      <c r="DK15" s="925"/>
      <c r="DL15" s="925"/>
      <c r="DM15" s="925"/>
      <c r="DN15" s="925"/>
      <c r="DO15" s="925"/>
      <c r="DP15" s="925"/>
      <c r="DQ15" s="925"/>
      <c r="DR15" s="925"/>
      <c r="DS15" s="925"/>
      <c r="DT15" s="925"/>
      <c r="DU15" s="925"/>
      <c r="DV15" s="925"/>
      <c r="DW15" s="925"/>
      <c r="DX15" s="925"/>
      <c r="DY15" s="925"/>
      <c r="DZ15" s="925"/>
      <c r="EA15" s="925"/>
      <c r="EB15" s="925"/>
      <c r="EC15" s="925"/>
      <c r="ED15" s="925"/>
      <c r="EE15" s="925"/>
      <c r="EF15" s="925"/>
      <c r="EG15" s="925"/>
      <c r="EH15" s="925"/>
      <c r="EI15" s="925"/>
      <c r="EJ15" s="925"/>
      <c r="EK15" s="925"/>
      <c r="EL15" s="925"/>
      <c r="EM15" s="925"/>
      <c r="EN15" s="925"/>
      <c r="EO15" s="925"/>
      <c r="EP15" s="925"/>
      <c r="EQ15" s="925"/>
      <c r="ER15" s="925"/>
      <c r="ES15" s="925"/>
      <c r="ET15" s="925"/>
      <c r="EU15" s="925"/>
      <c r="EV15" s="925"/>
      <c r="EW15" s="925"/>
      <c r="EX15" s="925"/>
      <c r="EY15" s="925"/>
      <c r="EZ15" s="925"/>
      <c r="FA15" s="925"/>
      <c r="FB15" s="925"/>
      <c r="FC15" s="925"/>
      <c r="FD15" s="925"/>
      <c r="FE15" s="925"/>
      <c r="FF15" s="925"/>
      <c r="FG15" s="925"/>
      <c r="FH15" s="925"/>
      <c r="FI15" s="925"/>
      <c r="FJ15" s="925"/>
      <c r="FK15" s="925"/>
      <c r="FL15" s="925"/>
      <c r="FM15" s="925"/>
      <c r="FN15" s="925"/>
      <c r="FO15" s="925"/>
      <c r="FP15" s="925"/>
      <c r="FQ15" s="925"/>
      <c r="FR15" s="925"/>
      <c r="FS15" s="925"/>
      <c r="FT15" s="925"/>
      <c r="FU15" s="925"/>
      <c r="FV15" s="925"/>
      <c r="FW15" s="925"/>
      <c r="FX15" s="925"/>
      <c r="FY15" s="925"/>
      <c r="FZ15" s="925"/>
      <c r="GA15" s="925"/>
      <c r="GB15" s="925"/>
      <c r="GC15" s="925"/>
      <c r="GD15" s="925"/>
      <c r="GE15" s="925"/>
      <c r="GF15" s="925"/>
      <c r="GG15" s="925"/>
      <c r="GH15" s="925"/>
      <c r="GI15" s="925"/>
      <c r="GJ15" s="925"/>
      <c r="GK15" s="925"/>
      <c r="GL15" s="925"/>
      <c r="GM15" s="925"/>
      <c r="GN15" s="925"/>
      <c r="GO15" s="925"/>
      <c r="GP15" s="925"/>
      <c r="GQ15" s="925"/>
      <c r="GR15" s="925"/>
      <c r="GS15" s="925"/>
      <c r="GT15" s="925"/>
      <c r="GU15" s="925"/>
      <c r="GV15" s="925"/>
      <c r="GW15" s="925"/>
      <c r="GX15" s="925"/>
      <c r="GY15" s="925"/>
      <c r="GZ15" s="925"/>
      <c r="HA15" s="925"/>
      <c r="HB15" s="925"/>
      <c r="HC15" s="925"/>
      <c r="HD15" s="925"/>
      <c r="HE15" s="925"/>
      <c r="HF15" s="925"/>
      <c r="HG15" s="925"/>
      <c r="HH15" s="925"/>
      <c r="HI15" s="925"/>
      <c r="HJ15" s="925"/>
      <c r="HK15" s="925"/>
      <c r="HL15" s="925"/>
      <c r="HM15" s="925"/>
      <c r="HN15" s="925"/>
      <c r="HO15" s="925"/>
      <c r="HP15" s="925"/>
      <c r="HQ15" s="925"/>
      <c r="HR15" s="925"/>
      <c r="HS15" s="925"/>
      <c r="HT15" s="925"/>
      <c r="HU15" s="925"/>
      <c r="HV15" s="925"/>
      <c r="HW15" s="925"/>
      <c r="HX15" s="925"/>
      <c r="HY15" s="925"/>
      <c r="HZ15" s="925"/>
      <c r="IA15" s="925"/>
      <c r="IB15" s="925"/>
      <c r="IC15" s="925"/>
      <c r="ID15" s="925"/>
      <c r="IE15" s="925"/>
      <c r="IF15" s="925"/>
      <c r="IG15" s="925"/>
      <c r="IH15" s="925"/>
      <c r="II15" s="925"/>
      <c r="IJ15" s="925"/>
      <c r="IK15" s="925"/>
      <c r="IL15" s="925"/>
      <c r="IM15" s="925"/>
      <c r="IN15" s="925"/>
      <c r="IO15" s="925"/>
      <c r="IP15" s="925"/>
      <c r="IQ15" s="925"/>
      <c r="IR15" s="925"/>
      <c r="IS15" s="925"/>
      <c r="IT15" s="925"/>
      <c r="IU15" s="925"/>
      <c r="IV15" s="925"/>
    </row>
    <row r="16" s="923" customFormat="1" ht="15" customHeight="1" spans="1:256">
      <c r="A16" s="937" t="s">
        <v>334</v>
      </c>
      <c r="B16" s="938">
        <f>IF((资产负债表!B7-资产负债表!C7+资产负债表!B22-资产负债表!C22+资产负债表!B20-资产负债表!C20+资产负债表!B19-资产负债表!C19)&lt;0,ABS(资产负债表!B7-资产负债表!C7+资产负债表!B22-资产负债表!C22+资产负债表!B20-资产负债表!C20+资产负债表!B19-资产负债表!C19),"")</f>
        <v>3019</v>
      </c>
      <c r="C16" s="939"/>
      <c r="D16" s="940">
        <v>5</v>
      </c>
      <c r="E16" s="940" t="s">
        <v>319</v>
      </c>
      <c r="F16" s="940" t="s">
        <v>319</v>
      </c>
      <c r="G16" s="940" t="s">
        <v>318</v>
      </c>
      <c r="H16" s="941" t="s">
        <v>335</v>
      </c>
      <c r="I16" s="925"/>
      <c r="J16" s="925"/>
      <c r="K16" s="925"/>
      <c r="L16" s="925"/>
      <c r="M16" s="925"/>
      <c r="N16" s="925"/>
      <c r="O16" s="925"/>
      <c r="P16" s="925"/>
      <c r="Q16" s="925"/>
      <c r="R16" s="925"/>
      <c r="S16" s="925"/>
      <c r="T16" s="925"/>
      <c r="U16" s="925"/>
      <c r="V16" s="925"/>
      <c r="W16" s="925"/>
      <c r="X16" s="925"/>
      <c r="Y16" s="925"/>
      <c r="Z16" s="925"/>
      <c r="AA16" s="925"/>
      <c r="AB16" s="925"/>
      <c r="AC16" s="925"/>
      <c r="AD16" s="925"/>
      <c r="AE16" s="925"/>
      <c r="AF16" s="925"/>
      <c r="AG16" s="925"/>
      <c r="AH16" s="925"/>
      <c r="AI16" s="925"/>
      <c r="AJ16" s="925"/>
      <c r="AK16" s="925"/>
      <c r="AL16" s="925"/>
      <c r="AM16" s="925"/>
      <c r="AN16" s="925"/>
      <c r="AO16" s="925"/>
      <c r="AP16" s="925"/>
      <c r="AQ16" s="925"/>
      <c r="AR16" s="925"/>
      <c r="AS16" s="925"/>
      <c r="AT16" s="925"/>
      <c r="AU16" s="925"/>
      <c r="AV16" s="925"/>
      <c r="AW16" s="925"/>
      <c r="AX16" s="925"/>
      <c r="AY16" s="925"/>
      <c r="AZ16" s="925"/>
      <c r="BA16" s="925"/>
      <c r="BB16" s="925"/>
      <c r="BC16" s="925"/>
      <c r="BD16" s="925"/>
      <c r="BE16" s="925"/>
      <c r="BF16" s="925"/>
      <c r="BG16" s="925"/>
      <c r="BH16" s="925"/>
      <c r="BI16" s="925"/>
      <c r="BJ16" s="925"/>
      <c r="BK16" s="925"/>
      <c r="BL16" s="925"/>
      <c r="BM16" s="925"/>
      <c r="BN16" s="925"/>
      <c r="BO16" s="925"/>
      <c r="BP16" s="925"/>
      <c r="BQ16" s="925"/>
      <c r="BR16" s="925"/>
      <c r="BS16" s="925"/>
      <c r="BT16" s="925"/>
      <c r="BU16" s="925"/>
      <c r="BV16" s="925"/>
      <c r="BW16" s="925"/>
      <c r="BX16" s="925"/>
      <c r="BY16" s="925"/>
      <c r="BZ16" s="925"/>
      <c r="CA16" s="925"/>
      <c r="CB16" s="925"/>
      <c r="CC16" s="925"/>
      <c r="CD16" s="925"/>
      <c r="CE16" s="925"/>
      <c r="CF16" s="925"/>
      <c r="CG16" s="925"/>
      <c r="CH16" s="925"/>
      <c r="CI16" s="925"/>
      <c r="CJ16" s="925"/>
      <c r="CK16" s="925"/>
      <c r="CL16" s="925"/>
      <c r="CM16" s="925"/>
      <c r="CN16" s="925"/>
      <c r="CO16" s="925"/>
      <c r="CP16" s="925"/>
      <c r="CQ16" s="925"/>
      <c r="CR16" s="925"/>
      <c r="CS16" s="925"/>
      <c r="CT16" s="925"/>
      <c r="CU16" s="925"/>
      <c r="CV16" s="925"/>
      <c r="CW16" s="925"/>
      <c r="CX16" s="925"/>
      <c r="CY16" s="925"/>
      <c r="CZ16" s="925"/>
      <c r="DA16" s="925"/>
      <c r="DB16" s="925"/>
      <c r="DC16" s="925"/>
      <c r="DD16" s="925"/>
      <c r="DE16" s="925"/>
      <c r="DF16" s="925"/>
      <c r="DG16" s="925"/>
      <c r="DH16" s="925"/>
      <c r="DI16" s="925"/>
      <c r="DJ16" s="925"/>
      <c r="DK16" s="925"/>
      <c r="DL16" s="925"/>
      <c r="DM16" s="925"/>
      <c r="DN16" s="925"/>
      <c r="DO16" s="925"/>
      <c r="DP16" s="925"/>
      <c r="DQ16" s="925"/>
      <c r="DR16" s="925"/>
      <c r="DS16" s="925"/>
      <c r="DT16" s="925"/>
      <c r="DU16" s="925"/>
      <c r="DV16" s="925"/>
      <c r="DW16" s="925"/>
      <c r="DX16" s="925"/>
      <c r="DY16" s="925"/>
      <c r="DZ16" s="925"/>
      <c r="EA16" s="925"/>
      <c r="EB16" s="925"/>
      <c r="EC16" s="925"/>
      <c r="ED16" s="925"/>
      <c r="EE16" s="925"/>
      <c r="EF16" s="925"/>
      <c r="EG16" s="925"/>
      <c r="EH16" s="925"/>
      <c r="EI16" s="925"/>
      <c r="EJ16" s="925"/>
      <c r="EK16" s="925"/>
      <c r="EL16" s="925"/>
      <c r="EM16" s="925"/>
      <c r="EN16" s="925"/>
      <c r="EO16" s="925"/>
      <c r="EP16" s="925"/>
      <c r="EQ16" s="925"/>
      <c r="ER16" s="925"/>
      <c r="ES16" s="925"/>
      <c r="ET16" s="925"/>
      <c r="EU16" s="925"/>
      <c r="EV16" s="925"/>
      <c r="EW16" s="925"/>
      <c r="EX16" s="925"/>
      <c r="EY16" s="925"/>
      <c r="EZ16" s="925"/>
      <c r="FA16" s="925"/>
      <c r="FB16" s="925"/>
      <c r="FC16" s="925"/>
      <c r="FD16" s="925"/>
      <c r="FE16" s="925"/>
      <c r="FF16" s="925"/>
      <c r="FG16" s="925"/>
      <c r="FH16" s="925"/>
      <c r="FI16" s="925"/>
      <c r="FJ16" s="925"/>
      <c r="FK16" s="925"/>
      <c r="FL16" s="925"/>
      <c r="FM16" s="925"/>
      <c r="FN16" s="925"/>
      <c r="FO16" s="925"/>
      <c r="FP16" s="925"/>
      <c r="FQ16" s="925"/>
      <c r="FR16" s="925"/>
      <c r="FS16" s="925"/>
      <c r="FT16" s="925"/>
      <c r="FU16" s="925"/>
      <c r="FV16" s="925"/>
      <c r="FW16" s="925"/>
      <c r="FX16" s="925"/>
      <c r="FY16" s="925"/>
      <c r="FZ16" s="925"/>
      <c r="GA16" s="925"/>
      <c r="GB16" s="925"/>
      <c r="GC16" s="925"/>
      <c r="GD16" s="925"/>
      <c r="GE16" s="925"/>
      <c r="GF16" s="925"/>
      <c r="GG16" s="925"/>
      <c r="GH16" s="925"/>
      <c r="GI16" s="925"/>
      <c r="GJ16" s="925"/>
      <c r="GK16" s="925"/>
      <c r="GL16" s="925"/>
      <c r="GM16" s="925"/>
      <c r="GN16" s="925"/>
      <c r="GO16" s="925"/>
      <c r="GP16" s="925"/>
      <c r="GQ16" s="925"/>
      <c r="GR16" s="925"/>
      <c r="GS16" s="925"/>
      <c r="GT16" s="925"/>
      <c r="GU16" s="925"/>
      <c r="GV16" s="925"/>
      <c r="GW16" s="925"/>
      <c r="GX16" s="925"/>
      <c r="GY16" s="925"/>
      <c r="GZ16" s="925"/>
      <c r="HA16" s="925"/>
      <c r="HB16" s="925"/>
      <c r="HC16" s="925"/>
      <c r="HD16" s="925"/>
      <c r="HE16" s="925"/>
      <c r="HF16" s="925"/>
      <c r="HG16" s="925"/>
      <c r="HH16" s="925"/>
      <c r="HI16" s="925"/>
      <c r="HJ16" s="925"/>
      <c r="HK16" s="925"/>
      <c r="HL16" s="925"/>
      <c r="HM16" s="925"/>
      <c r="HN16" s="925"/>
      <c r="HO16" s="925"/>
      <c r="HP16" s="925"/>
      <c r="HQ16" s="925"/>
      <c r="HR16" s="925"/>
      <c r="HS16" s="925"/>
      <c r="HT16" s="925"/>
      <c r="HU16" s="925"/>
      <c r="HV16" s="925"/>
      <c r="HW16" s="925"/>
      <c r="HX16" s="925"/>
      <c r="HY16" s="925"/>
      <c r="HZ16" s="925"/>
      <c r="IA16" s="925"/>
      <c r="IB16" s="925"/>
      <c r="IC16" s="925"/>
      <c r="ID16" s="925"/>
      <c r="IE16" s="925"/>
      <c r="IF16" s="925"/>
      <c r="IG16" s="925"/>
      <c r="IH16" s="925"/>
      <c r="II16" s="925"/>
      <c r="IJ16" s="925"/>
      <c r="IK16" s="925"/>
      <c r="IL16" s="925"/>
      <c r="IM16" s="925"/>
      <c r="IN16" s="925"/>
      <c r="IO16" s="925"/>
      <c r="IP16" s="925"/>
      <c r="IQ16" s="925"/>
      <c r="IR16" s="925"/>
      <c r="IS16" s="925"/>
      <c r="IT16" s="925"/>
      <c r="IU16" s="925"/>
      <c r="IV16" s="925"/>
    </row>
    <row r="17" s="923" customFormat="1" ht="15" customHeight="1" spans="1:256">
      <c r="A17" s="937" t="s">
        <v>336</v>
      </c>
      <c r="B17" s="938">
        <f>表外数据录入!C60</f>
        <v>0</v>
      </c>
      <c r="C17" s="939"/>
      <c r="D17" s="940"/>
      <c r="E17" s="940"/>
      <c r="F17" s="940"/>
      <c r="G17" s="940"/>
      <c r="H17" s="941"/>
      <c r="I17" s="925"/>
      <c r="J17" s="925"/>
      <c r="K17" s="925"/>
      <c r="L17" s="925"/>
      <c r="M17" s="925"/>
      <c r="N17" s="925"/>
      <c r="O17" s="925"/>
      <c r="P17" s="925"/>
      <c r="Q17" s="925"/>
      <c r="R17" s="925"/>
      <c r="S17" s="925"/>
      <c r="T17" s="925"/>
      <c r="U17" s="925"/>
      <c r="V17" s="925"/>
      <c r="W17" s="925"/>
      <c r="X17" s="925"/>
      <c r="Y17" s="925"/>
      <c r="Z17" s="925"/>
      <c r="AA17" s="925"/>
      <c r="AB17" s="925"/>
      <c r="AC17" s="925"/>
      <c r="AD17" s="925"/>
      <c r="AE17" s="925"/>
      <c r="AF17" s="925"/>
      <c r="AG17" s="925"/>
      <c r="AH17" s="925"/>
      <c r="AI17" s="925"/>
      <c r="AJ17" s="925"/>
      <c r="AK17" s="925"/>
      <c r="AL17" s="925"/>
      <c r="AM17" s="925"/>
      <c r="AN17" s="925"/>
      <c r="AO17" s="925"/>
      <c r="AP17" s="925"/>
      <c r="AQ17" s="925"/>
      <c r="AR17" s="925"/>
      <c r="AS17" s="925"/>
      <c r="AT17" s="925"/>
      <c r="AU17" s="925"/>
      <c r="AV17" s="925"/>
      <c r="AW17" s="925"/>
      <c r="AX17" s="925"/>
      <c r="AY17" s="925"/>
      <c r="AZ17" s="925"/>
      <c r="BA17" s="925"/>
      <c r="BB17" s="925"/>
      <c r="BC17" s="925"/>
      <c r="BD17" s="925"/>
      <c r="BE17" s="925"/>
      <c r="BF17" s="925"/>
      <c r="BG17" s="925"/>
      <c r="BH17" s="925"/>
      <c r="BI17" s="925"/>
      <c r="BJ17" s="925"/>
      <c r="BK17" s="925"/>
      <c r="BL17" s="925"/>
      <c r="BM17" s="925"/>
      <c r="BN17" s="925"/>
      <c r="BO17" s="925"/>
      <c r="BP17" s="925"/>
      <c r="BQ17" s="925"/>
      <c r="BR17" s="925"/>
      <c r="BS17" s="925"/>
      <c r="BT17" s="925"/>
      <c r="BU17" s="925"/>
      <c r="BV17" s="925"/>
      <c r="BW17" s="925"/>
      <c r="BX17" s="925"/>
      <c r="BY17" s="925"/>
      <c r="BZ17" s="925"/>
      <c r="CA17" s="925"/>
      <c r="CB17" s="925"/>
      <c r="CC17" s="925"/>
      <c r="CD17" s="925"/>
      <c r="CE17" s="925"/>
      <c r="CF17" s="925"/>
      <c r="CG17" s="925"/>
      <c r="CH17" s="925"/>
      <c r="CI17" s="925"/>
      <c r="CJ17" s="925"/>
      <c r="CK17" s="925"/>
      <c r="CL17" s="925"/>
      <c r="CM17" s="925"/>
      <c r="CN17" s="925"/>
      <c r="CO17" s="925"/>
      <c r="CP17" s="925"/>
      <c r="CQ17" s="925"/>
      <c r="CR17" s="925"/>
      <c r="CS17" s="925"/>
      <c r="CT17" s="925"/>
      <c r="CU17" s="925"/>
      <c r="CV17" s="925"/>
      <c r="CW17" s="925"/>
      <c r="CX17" s="925"/>
      <c r="CY17" s="925"/>
      <c r="CZ17" s="925"/>
      <c r="DA17" s="925"/>
      <c r="DB17" s="925"/>
      <c r="DC17" s="925"/>
      <c r="DD17" s="925"/>
      <c r="DE17" s="925"/>
      <c r="DF17" s="925"/>
      <c r="DG17" s="925"/>
      <c r="DH17" s="925"/>
      <c r="DI17" s="925"/>
      <c r="DJ17" s="925"/>
      <c r="DK17" s="925"/>
      <c r="DL17" s="925"/>
      <c r="DM17" s="925"/>
      <c r="DN17" s="925"/>
      <c r="DO17" s="925"/>
      <c r="DP17" s="925"/>
      <c r="DQ17" s="925"/>
      <c r="DR17" s="925"/>
      <c r="DS17" s="925"/>
      <c r="DT17" s="925"/>
      <c r="DU17" s="925"/>
      <c r="DV17" s="925"/>
      <c r="DW17" s="925"/>
      <c r="DX17" s="925"/>
      <c r="DY17" s="925"/>
      <c r="DZ17" s="925"/>
      <c r="EA17" s="925"/>
      <c r="EB17" s="925"/>
      <c r="EC17" s="925"/>
      <c r="ED17" s="925"/>
      <c r="EE17" s="925"/>
      <c r="EF17" s="925"/>
      <c r="EG17" s="925"/>
      <c r="EH17" s="925"/>
      <c r="EI17" s="925"/>
      <c r="EJ17" s="925"/>
      <c r="EK17" s="925"/>
      <c r="EL17" s="925"/>
      <c r="EM17" s="925"/>
      <c r="EN17" s="925"/>
      <c r="EO17" s="925"/>
      <c r="EP17" s="925"/>
      <c r="EQ17" s="925"/>
      <c r="ER17" s="925"/>
      <c r="ES17" s="925"/>
      <c r="ET17" s="925"/>
      <c r="EU17" s="925"/>
      <c r="EV17" s="925"/>
      <c r="EW17" s="925"/>
      <c r="EX17" s="925"/>
      <c r="EY17" s="925"/>
      <c r="EZ17" s="925"/>
      <c r="FA17" s="925"/>
      <c r="FB17" s="925"/>
      <c r="FC17" s="925"/>
      <c r="FD17" s="925"/>
      <c r="FE17" s="925"/>
      <c r="FF17" s="925"/>
      <c r="FG17" s="925"/>
      <c r="FH17" s="925"/>
      <c r="FI17" s="925"/>
      <c r="FJ17" s="925"/>
      <c r="FK17" s="925"/>
      <c r="FL17" s="925"/>
      <c r="FM17" s="925"/>
      <c r="FN17" s="925"/>
      <c r="FO17" s="925"/>
      <c r="FP17" s="925"/>
      <c r="FQ17" s="925"/>
      <c r="FR17" s="925"/>
      <c r="FS17" s="925"/>
      <c r="FT17" s="925"/>
      <c r="FU17" s="925"/>
      <c r="FV17" s="925"/>
      <c r="FW17" s="925"/>
      <c r="FX17" s="925"/>
      <c r="FY17" s="925"/>
      <c r="FZ17" s="925"/>
      <c r="GA17" s="925"/>
      <c r="GB17" s="925"/>
      <c r="GC17" s="925"/>
      <c r="GD17" s="925"/>
      <c r="GE17" s="925"/>
      <c r="GF17" s="925"/>
      <c r="GG17" s="925"/>
      <c r="GH17" s="925"/>
      <c r="GI17" s="925"/>
      <c r="GJ17" s="925"/>
      <c r="GK17" s="925"/>
      <c r="GL17" s="925"/>
      <c r="GM17" s="925"/>
      <c r="GN17" s="925"/>
      <c r="GO17" s="925"/>
      <c r="GP17" s="925"/>
      <c r="GQ17" s="925"/>
      <c r="GR17" s="925"/>
      <c r="GS17" s="925"/>
      <c r="GT17" s="925"/>
      <c r="GU17" s="925"/>
      <c r="GV17" s="925"/>
      <c r="GW17" s="925"/>
      <c r="GX17" s="925"/>
      <c r="GY17" s="925"/>
      <c r="GZ17" s="925"/>
      <c r="HA17" s="925"/>
      <c r="HB17" s="925"/>
      <c r="HC17" s="925"/>
      <c r="HD17" s="925"/>
      <c r="HE17" s="925"/>
      <c r="HF17" s="925"/>
      <c r="HG17" s="925"/>
      <c r="HH17" s="925"/>
      <c r="HI17" s="925"/>
      <c r="HJ17" s="925"/>
      <c r="HK17" s="925"/>
      <c r="HL17" s="925"/>
      <c r="HM17" s="925"/>
      <c r="HN17" s="925"/>
      <c r="HO17" s="925"/>
      <c r="HP17" s="925"/>
      <c r="HQ17" s="925"/>
      <c r="HR17" s="925"/>
      <c r="HS17" s="925"/>
      <c r="HT17" s="925"/>
      <c r="HU17" s="925"/>
      <c r="HV17" s="925"/>
      <c r="HW17" s="925"/>
      <c r="HX17" s="925"/>
      <c r="HY17" s="925"/>
      <c r="HZ17" s="925"/>
      <c r="IA17" s="925"/>
      <c r="IB17" s="925"/>
      <c r="IC17" s="925"/>
      <c r="ID17" s="925"/>
      <c r="IE17" s="925"/>
      <c r="IF17" s="925"/>
      <c r="IG17" s="925"/>
      <c r="IH17" s="925"/>
      <c r="II17" s="925"/>
      <c r="IJ17" s="925"/>
      <c r="IK17" s="925"/>
      <c r="IL17" s="925"/>
      <c r="IM17" s="925"/>
      <c r="IN17" s="925"/>
      <c r="IO17" s="925"/>
      <c r="IP17" s="925"/>
      <c r="IQ17" s="925"/>
      <c r="IR17" s="925"/>
      <c r="IS17" s="925"/>
      <c r="IT17" s="925"/>
      <c r="IU17" s="925"/>
      <c r="IV17" s="925"/>
    </row>
    <row r="18" s="923" customFormat="1" ht="15" customHeight="1" spans="1:256">
      <c r="A18" s="937" t="s">
        <v>337</v>
      </c>
      <c r="B18" s="938">
        <f>表外数据录入!C61</f>
        <v>0</v>
      </c>
      <c r="C18" s="939"/>
      <c r="D18" s="940"/>
      <c r="E18" s="940"/>
      <c r="F18" s="940"/>
      <c r="G18" s="940"/>
      <c r="H18" s="941"/>
      <c r="I18" s="925"/>
      <c r="J18" s="925"/>
      <c r="K18" s="925"/>
      <c r="L18" s="925"/>
      <c r="M18" s="925"/>
      <c r="N18" s="925"/>
      <c r="O18" s="925"/>
      <c r="P18" s="925"/>
      <c r="Q18" s="925"/>
      <c r="R18" s="925"/>
      <c r="S18" s="925"/>
      <c r="T18" s="925"/>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25"/>
      <c r="AS18" s="925"/>
      <c r="AT18" s="925"/>
      <c r="AU18" s="925"/>
      <c r="AV18" s="925"/>
      <c r="AW18" s="925"/>
      <c r="AX18" s="925"/>
      <c r="AY18" s="925"/>
      <c r="AZ18" s="925"/>
      <c r="BA18" s="925"/>
      <c r="BB18" s="925"/>
      <c r="BC18" s="925"/>
      <c r="BD18" s="925"/>
      <c r="BE18" s="925"/>
      <c r="BF18" s="925"/>
      <c r="BG18" s="925"/>
      <c r="BH18" s="925"/>
      <c r="BI18" s="925"/>
      <c r="BJ18" s="925"/>
      <c r="BK18" s="925"/>
      <c r="BL18" s="925"/>
      <c r="BM18" s="925"/>
      <c r="BN18" s="925"/>
      <c r="BO18" s="925"/>
      <c r="BP18" s="925"/>
      <c r="BQ18" s="925"/>
      <c r="BR18" s="925"/>
      <c r="BS18" s="925"/>
      <c r="BT18" s="925"/>
      <c r="BU18" s="925"/>
      <c r="BV18" s="925"/>
      <c r="BW18" s="925"/>
      <c r="BX18" s="925"/>
      <c r="BY18" s="925"/>
      <c r="BZ18" s="925"/>
      <c r="CA18" s="925"/>
      <c r="CB18" s="925"/>
      <c r="CC18" s="925"/>
      <c r="CD18" s="925"/>
      <c r="CE18" s="925"/>
      <c r="CF18" s="925"/>
      <c r="CG18" s="925"/>
      <c r="CH18" s="925"/>
      <c r="CI18" s="925"/>
      <c r="CJ18" s="925"/>
      <c r="CK18" s="925"/>
      <c r="CL18" s="925"/>
      <c r="CM18" s="925"/>
      <c r="CN18" s="925"/>
      <c r="CO18" s="925"/>
      <c r="CP18" s="925"/>
      <c r="CQ18" s="925"/>
      <c r="CR18" s="925"/>
      <c r="CS18" s="925"/>
      <c r="CT18" s="925"/>
      <c r="CU18" s="925"/>
      <c r="CV18" s="925"/>
      <c r="CW18" s="925"/>
      <c r="CX18" s="925"/>
      <c r="CY18" s="925"/>
      <c r="CZ18" s="925"/>
      <c r="DA18" s="925"/>
      <c r="DB18" s="925"/>
      <c r="DC18" s="925"/>
      <c r="DD18" s="925"/>
      <c r="DE18" s="925"/>
      <c r="DF18" s="925"/>
      <c r="DG18" s="925"/>
      <c r="DH18" s="925"/>
      <c r="DI18" s="925"/>
      <c r="DJ18" s="925"/>
      <c r="DK18" s="925"/>
      <c r="DL18" s="925"/>
      <c r="DM18" s="925"/>
      <c r="DN18" s="925"/>
      <c r="DO18" s="925"/>
      <c r="DP18" s="925"/>
      <c r="DQ18" s="925"/>
      <c r="DR18" s="925"/>
      <c r="DS18" s="925"/>
      <c r="DT18" s="925"/>
      <c r="DU18" s="925"/>
      <c r="DV18" s="925"/>
      <c r="DW18" s="925"/>
      <c r="DX18" s="925"/>
      <c r="DY18" s="925"/>
      <c r="DZ18" s="925"/>
      <c r="EA18" s="925"/>
      <c r="EB18" s="925"/>
      <c r="EC18" s="925"/>
      <c r="ED18" s="925"/>
      <c r="EE18" s="925"/>
      <c r="EF18" s="925"/>
      <c r="EG18" s="925"/>
      <c r="EH18" s="925"/>
      <c r="EI18" s="925"/>
      <c r="EJ18" s="925"/>
      <c r="EK18" s="925"/>
      <c r="EL18" s="925"/>
      <c r="EM18" s="925"/>
      <c r="EN18" s="925"/>
      <c r="EO18" s="925"/>
      <c r="EP18" s="925"/>
      <c r="EQ18" s="925"/>
      <c r="ER18" s="925"/>
      <c r="ES18" s="925"/>
      <c r="ET18" s="925"/>
      <c r="EU18" s="925"/>
      <c r="EV18" s="925"/>
      <c r="EW18" s="925"/>
      <c r="EX18" s="925"/>
      <c r="EY18" s="925"/>
      <c r="EZ18" s="925"/>
      <c r="FA18" s="925"/>
      <c r="FB18" s="925"/>
      <c r="FC18" s="925"/>
      <c r="FD18" s="925"/>
      <c r="FE18" s="925"/>
      <c r="FF18" s="925"/>
      <c r="FG18" s="925"/>
      <c r="FH18" s="925"/>
      <c r="FI18" s="925"/>
      <c r="FJ18" s="925"/>
      <c r="FK18" s="925"/>
      <c r="FL18" s="925"/>
      <c r="FM18" s="925"/>
      <c r="FN18" s="925"/>
      <c r="FO18" s="925"/>
      <c r="FP18" s="925"/>
      <c r="FQ18" s="925"/>
      <c r="FR18" s="925"/>
      <c r="FS18" s="925"/>
      <c r="FT18" s="925"/>
      <c r="FU18" s="925"/>
      <c r="FV18" s="925"/>
      <c r="FW18" s="925"/>
      <c r="FX18" s="925"/>
      <c r="FY18" s="925"/>
      <c r="FZ18" s="925"/>
      <c r="GA18" s="925"/>
      <c r="GB18" s="925"/>
      <c r="GC18" s="925"/>
      <c r="GD18" s="925"/>
      <c r="GE18" s="925"/>
      <c r="GF18" s="925"/>
      <c r="GG18" s="925"/>
      <c r="GH18" s="925"/>
      <c r="GI18" s="925"/>
      <c r="GJ18" s="925"/>
      <c r="GK18" s="925"/>
      <c r="GL18" s="925"/>
      <c r="GM18" s="925"/>
      <c r="GN18" s="925"/>
      <c r="GO18" s="925"/>
      <c r="GP18" s="925"/>
      <c r="GQ18" s="925"/>
      <c r="GR18" s="925"/>
      <c r="GS18" s="925"/>
      <c r="GT18" s="925"/>
      <c r="GU18" s="925"/>
      <c r="GV18" s="925"/>
      <c r="GW18" s="925"/>
      <c r="GX18" s="925"/>
      <c r="GY18" s="925"/>
      <c r="GZ18" s="925"/>
      <c r="HA18" s="925"/>
      <c r="HB18" s="925"/>
      <c r="HC18" s="925"/>
      <c r="HD18" s="925"/>
      <c r="HE18" s="925"/>
      <c r="HF18" s="925"/>
      <c r="HG18" s="925"/>
      <c r="HH18" s="925"/>
      <c r="HI18" s="925"/>
      <c r="HJ18" s="925"/>
      <c r="HK18" s="925"/>
      <c r="HL18" s="925"/>
      <c r="HM18" s="925"/>
      <c r="HN18" s="925"/>
      <c r="HO18" s="925"/>
      <c r="HP18" s="925"/>
      <c r="HQ18" s="925"/>
      <c r="HR18" s="925"/>
      <c r="HS18" s="925"/>
      <c r="HT18" s="925"/>
      <c r="HU18" s="925"/>
      <c r="HV18" s="925"/>
      <c r="HW18" s="925"/>
      <c r="HX18" s="925"/>
      <c r="HY18" s="925"/>
      <c r="HZ18" s="925"/>
      <c r="IA18" s="925"/>
      <c r="IB18" s="925"/>
      <c r="IC18" s="925"/>
      <c r="ID18" s="925"/>
      <c r="IE18" s="925"/>
      <c r="IF18" s="925"/>
      <c r="IG18" s="925"/>
      <c r="IH18" s="925"/>
      <c r="II18" s="925"/>
      <c r="IJ18" s="925"/>
      <c r="IK18" s="925"/>
      <c r="IL18" s="925"/>
      <c r="IM18" s="925"/>
      <c r="IN18" s="925"/>
      <c r="IO18" s="925"/>
      <c r="IP18" s="925"/>
      <c r="IQ18" s="925"/>
      <c r="IR18" s="925"/>
      <c r="IS18" s="925"/>
      <c r="IT18" s="925"/>
      <c r="IU18" s="925"/>
      <c r="IV18" s="925"/>
    </row>
    <row r="19" s="923" customFormat="1" ht="15" customHeight="1" spans="1:256">
      <c r="A19" s="937" t="s">
        <v>294</v>
      </c>
      <c r="B19" s="938">
        <f>表外数据录入!C62</f>
        <v>0</v>
      </c>
      <c r="C19" s="939"/>
      <c r="D19" s="940"/>
      <c r="E19" s="940"/>
      <c r="F19" s="940"/>
      <c r="G19" s="940"/>
      <c r="H19" s="941"/>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5"/>
      <c r="AK19" s="925"/>
      <c r="AL19" s="925"/>
      <c r="AM19" s="925"/>
      <c r="AN19" s="925"/>
      <c r="AO19" s="925"/>
      <c r="AP19" s="925"/>
      <c r="AQ19" s="925"/>
      <c r="AR19" s="925"/>
      <c r="AS19" s="925"/>
      <c r="AT19" s="925"/>
      <c r="AU19" s="925"/>
      <c r="AV19" s="925"/>
      <c r="AW19" s="925"/>
      <c r="AX19" s="925"/>
      <c r="AY19" s="925"/>
      <c r="AZ19" s="925"/>
      <c r="BA19" s="925"/>
      <c r="BB19" s="925"/>
      <c r="BC19" s="925"/>
      <c r="BD19" s="925"/>
      <c r="BE19" s="925"/>
      <c r="BF19" s="925"/>
      <c r="BG19" s="925"/>
      <c r="BH19" s="925"/>
      <c r="BI19" s="925"/>
      <c r="BJ19" s="925"/>
      <c r="BK19" s="925"/>
      <c r="BL19" s="925"/>
      <c r="BM19" s="925"/>
      <c r="BN19" s="925"/>
      <c r="BO19" s="925"/>
      <c r="BP19" s="925"/>
      <c r="BQ19" s="925"/>
      <c r="BR19" s="925"/>
      <c r="BS19" s="925"/>
      <c r="BT19" s="925"/>
      <c r="BU19" s="925"/>
      <c r="BV19" s="925"/>
      <c r="BW19" s="925"/>
      <c r="BX19" s="925"/>
      <c r="BY19" s="925"/>
      <c r="BZ19" s="925"/>
      <c r="CA19" s="925"/>
      <c r="CB19" s="925"/>
      <c r="CC19" s="925"/>
      <c r="CD19" s="925"/>
      <c r="CE19" s="925"/>
      <c r="CF19" s="925"/>
      <c r="CG19" s="925"/>
      <c r="CH19" s="925"/>
      <c r="CI19" s="925"/>
      <c r="CJ19" s="925"/>
      <c r="CK19" s="925"/>
      <c r="CL19" s="925"/>
      <c r="CM19" s="925"/>
      <c r="CN19" s="925"/>
      <c r="CO19" s="925"/>
      <c r="CP19" s="925"/>
      <c r="CQ19" s="925"/>
      <c r="CR19" s="925"/>
      <c r="CS19" s="925"/>
      <c r="CT19" s="925"/>
      <c r="CU19" s="925"/>
      <c r="CV19" s="925"/>
      <c r="CW19" s="925"/>
      <c r="CX19" s="925"/>
      <c r="CY19" s="925"/>
      <c r="CZ19" s="925"/>
      <c r="DA19" s="925"/>
      <c r="DB19" s="925"/>
      <c r="DC19" s="925"/>
      <c r="DD19" s="925"/>
      <c r="DE19" s="925"/>
      <c r="DF19" s="925"/>
      <c r="DG19" s="925"/>
      <c r="DH19" s="925"/>
      <c r="DI19" s="925"/>
      <c r="DJ19" s="925"/>
      <c r="DK19" s="925"/>
      <c r="DL19" s="925"/>
      <c r="DM19" s="925"/>
      <c r="DN19" s="925"/>
      <c r="DO19" s="925"/>
      <c r="DP19" s="925"/>
      <c r="DQ19" s="925"/>
      <c r="DR19" s="925"/>
      <c r="DS19" s="925"/>
      <c r="DT19" s="925"/>
      <c r="DU19" s="925"/>
      <c r="DV19" s="925"/>
      <c r="DW19" s="925"/>
      <c r="DX19" s="925"/>
      <c r="DY19" s="925"/>
      <c r="DZ19" s="925"/>
      <c r="EA19" s="925"/>
      <c r="EB19" s="925"/>
      <c r="EC19" s="925"/>
      <c r="ED19" s="925"/>
      <c r="EE19" s="925"/>
      <c r="EF19" s="925"/>
      <c r="EG19" s="925"/>
      <c r="EH19" s="925"/>
      <c r="EI19" s="925"/>
      <c r="EJ19" s="925"/>
      <c r="EK19" s="925"/>
      <c r="EL19" s="925"/>
      <c r="EM19" s="925"/>
      <c r="EN19" s="925"/>
      <c r="EO19" s="925"/>
      <c r="EP19" s="925"/>
      <c r="EQ19" s="925"/>
      <c r="ER19" s="925"/>
      <c r="ES19" s="925"/>
      <c r="ET19" s="925"/>
      <c r="EU19" s="925"/>
      <c r="EV19" s="925"/>
      <c r="EW19" s="925"/>
      <c r="EX19" s="925"/>
      <c r="EY19" s="925"/>
      <c r="EZ19" s="925"/>
      <c r="FA19" s="925"/>
      <c r="FB19" s="925"/>
      <c r="FC19" s="925"/>
      <c r="FD19" s="925"/>
      <c r="FE19" s="925"/>
      <c r="FF19" s="925"/>
      <c r="FG19" s="925"/>
      <c r="FH19" s="925"/>
      <c r="FI19" s="925"/>
      <c r="FJ19" s="925"/>
      <c r="FK19" s="925"/>
      <c r="FL19" s="925"/>
      <c r="FM19" s="925"/>
      <c r="FN19" s="925"/>
      <c r="FO19" s="925"/>
      <c r="FP19" s="925"/>
      <c r="FQ19" s="925"/>
      <c r="FR19" s="925"/>
      <c r="FS19" s="925"/>
      <c r="FT19" s="925"/>
      <c r="FU19" s="925"/>
      <c r="FV19" s="925"/>
      <c r="FW19" s="925"/>
      <c r="FX19" s="925"/>
      <c r="FY19" s="925"/>
      <c r="FZ19" s="925"/>
      <c r="GA19" s="925"/>
      <c r="GB19" s="925"/>
      <c r="GC19" s="925"/>
      <c r="GD19" s="925"/>
      <c r="GE19" s="925"/>
      <c r="GF19" s="925"/>
      <c r="GG19" s="925"/>
      <c r="GH19" s="925"/>
      <c r="GI19" s="925"/>
      <c r="GJ19" s="925"/>
      <c r="GK19" s="925"/>
      <c r="GL19" s="925"/>
      <c r="GM19" s="925"/>
      <c r="GN19" s="925"/>
      <c r="GO19" s="925"/>
      <c r="GP19" s="925"/>
      <c r="GQ19" s="925"/>
      <c r="GR19" s="925"/>
      <c r="GS19" s="925"/>
      <c r="GT19" s="925"/>
      <c r="GU19" s="925"/>
      <c r="GV19" s="925"/>
      <c r="GW19" s="925"/>
      <c r="GX19" s="925"/>
      <c r="GY19" s="925"/>
      <c r="GZ19" s="925"/>
      <c r="HA19" s="925"/>
      <c r="HB19" s="925"/>
      <c r="HC19" s="925"/>
      <c r="HD19" s="925"/>
      <c r="HE19" s="925"/>
      <c r="HF19" s="925"/>
      <c r="HG19" s="925"/>
      <c r="HH19" s="925"/>
      <c r="HI19" s="925"/>
      <c r="HJ19" s="925"/>
      <c r="HK19" s="925"/>
      <c r="HL19" s="925"/>
      <c r="HM19" s="925"/>
      <c r="HN19" s="925"/>
      <c r="HO19" s="925"/>
      <c r="HP19" s="925"/>
      <c r="HQ19" s="925"/>
      <c r="HR19" s="925"/>
      <c r="HS19" s="925"/>
      <c r="HT19" s="925"/>
      <c r="HU19" s="925"/>
      <c r="HV19" s="925"/>
      <c r="HW19" s="925"/>
      <c r="HX19" s="925"/>
      <c r="HY19" s="925"/>
      <c r="HZ19" s="925"/>
      <c r="IA19" s="925"/>
      <c r="IB19" s="925"/>
      <c r="IC19" s="925"/>
      <c r="ID19" s="925"/>
      <c r="IE19" s="925"/>
      <c r="IF19" s="925"/>
      <c r="IG19" s="925"/>
      <c r="IH19" s="925"/>
      <c r="II19" s="925"/>
      <c r="IJ19" s="925"/>
      <c r="IK19" s="925"/>
      <c r="IL19" s="925"/>
      <c r="IM19" s="925"/>
      <c r="IN19" s="925"/>
      <c r="IO19" s="925"/>
      <c r="IP19" s="925"/>
      <c r="IQ19" s="925"/>
      <c r="IR19" s="925"/>
      <c r="IS19" s="925"/>
      <c r="IT19" s="925"/>
      <c r="IU19" s="925"/>
      <c r="IV19" s="925"/>
    </row>
    <row r="20" s="923" customFormat="1" ht="15" customHeight="1" spans="1:256">
      <c r="A20" s="937" t="s">
        <v>338</v>
      </c>
      <c r="B20" s="938">
        <f>表外数据录入!C64</f>
        <v>0</v>
      </c>
      <c r="C20" s="939"/>
      <c r="D20" s="940">
        <v>6</v>
      </c>
      <c r="E20" s="940" t="s">
        <v>319</v>
      </c>
      <c r="F20" s="940" t="s">
        <v>319</v>
      </c>
      <c r="G20" s="940" t="s">
        <v>319</v>
      </c>
      <c r="H20" s="941" t="s">
        <v>339</v>
      </c>
      <c r="I20" s="925"/>
      <c r="J20" s="925"/>
      <c r="K20" s="925"/>
      <c r="L20" s="925"/>
      <c r="M20" s="925"/>
      <c r="N20" s="925"/>
      <c r="O20" s="925"/>
      <c r="P20" s="925"/>
      <c r="Q20" s="925"/>
      <c r="R20" s="925"/>
      <c r="S20" s="925"/>
      <c r="T20" s="925"/>
      <c r="U20" s="925"/>
      <c r="V20" s="925"/>
      <c r="W20" s="925"/>
      <c r="X20" s="925"/>
      <c r="Y20" s="925"/>
      <c r="Z20" s="925"/>
      <c r="AA20" s="925"/>
      <c r="AB20" s="925"/>
      <c r="AC20" s="925"/>
      <c r="AD20" s="925"/>
      <c r="AE20" s="925"/>
      <c r="AF20" s="925"/>
      <c r="AG20" s="925"/>
      <c r="AH20" s="925"/>
      <c r="AI20" s="925"/>
      <c r="AJ20" s="925"/>
      <c r="AK20" s="925"/>
      <c r="AL20" s="925"/>
      <c r="AM20" s="925"/>
      <c r="AN20" s="925"/>
      <c r="AO20" s="925"/>
      <c r="AP20" s="925"/>
      <c r="AQ20" s="925"/>
      <c r="AR20" s="925"/>
      <c r="AS20" s="925"/>
      <c r="AT20" s="925"/>
      <c r="AU20" s="925"/>
      <c r="AV20" s="925"/>
      <c r="AW20" s="925"/>
      <c r="AX20" s="925"/>
      <c r="AY20" s="925"/>
      <c r="AZ20" s="925"/>
      <c r="BA20" s="925"/>
      <c r="BB20" s="925"/>
      <c r="BC20" s="925"/>
      <c r="BD20" s="925"/>
      <c r="BE20" s="925"/>
      <c r="BF20" s="925"/>
      <c r="BG20" s="925"/>
      <c r="BH20" s="925"/>
      <c r="BI20" s="925"/>
      <c r="BJ20" s="925"/>
      <c r="BK20" s="925"/>
      <c r="BL20" s="925"/>
      <c r="BM20" s="925"/>
      <c r="BN20" s="925"/>
      <c r="BO20" s="925"/>
      <c r="BP20" s="925"/>
      <c r="BQ20" s="925"/>
      <c r="BR20" s="925"/>
      <c r="BS20" s="925"/>
      <c r="BT20" s="925"/>
      <c r="BU20" s="925"/>
      <c r="BV20" s="925"/>
      <c r="BW20" s="925"/>
      <c r="BX20" s="925"/>
      <c r="BY20" s="925"/>
      <c r="BZ20" s="925"/>
      <c r="CA20" s="925"/>
      <c r="CB20" s="925"/>
      <c r="CC20" s="925"/>
      <c r="CD20" s="925"/>
      <c r="CE20" s="925"/>
      <c r="CF20" s="925"/>
      <c r="CG20" s="925"/>
      <c r="CH20" s="925"/>
      <c r="CI20" s="925"/>
      <c r="CJ20" s="925"/>
      <c r="CK20" s="925"/>
      <c r="CL20" s="925"/>
      <c r="CM20" s="925"/>
      <c r="CN20" s="925"/>
      <c r="CO20" s="925"/>
      <c r="CP20" s="925"/>
      <c r="CQ20" s="925"/>
      <c r="CR20" s="925"/>
      <c r="CS20" s="925"/>
      <c r="CT20" s="925"/>
      <c r="CU20" s="925"/>
      <c r="CV20" s="925"/>
      <c r="CW20" s="925"/>
      <c r="CX20" s="925"/>
      <c r="CY20" s="925"/>
      <c r="CZ20" s="925"/>
      <c r="DA20" s="925"/>
      <c r="DB20" s="925"/>
      <c r="DC20" s="925"/>
      <c r="DD20" s="925"/>
      <c r="DE20" s="925"/>
      <c r="DF20" s="925"/>
      <c r="DG20" s="925"/>
      <c r="DH20" s="925"/>
      <c r="DI20" s="925"/>
      <c r="DJ20" s="925"/>
      <c r="DK20" s="925"/>
      <c r="DL20" s="925"/>
      <c r="DM20" s="925"/>
      <c r="DN20" s="925"/>
      <c r="DO20" s="925"/>
      <c r="DP20" s="925"/>
      <c r="DQ20" s="925"/>
      <c r="DR20" s="925"/>
      <c r="DS20" s="925"/>
      <c r="DT20" s="925"/>
      <c r="DU20" s="925"/>
      <c r="DV20" s="925"/>
      <c r="DW20" s="925"/>
      <c r="DX20" s="925"/>
      <c r="DY20" s="925"/>
      <c r="DZ20" s="925"/>
      <c r="EA20" s="925"/>
      <c r="EB20" s="925"/>
      <c r="EC20" s="925"/>
      <c r="ED20" s="925"/>
      <c r="EE20" s="925"/>
      <c r="EF20" s="925"/>
      <c r="EG20" s="925"/>
      <c r="EH20" s="925"/>
      <c r="EI20" s="925"/>
      <c r="EJ20" s="925"/>
      <c r="EK20" s="925"/>
      <c r="EL20" s="925"/>
      <c r="EM20" s="925"/>
      <c r="EN20" s="925"/>
      <c r="EO20" s="925"/>
      <c r="EP20" s="925"/>
      <c r="EQ20" s="925"/>
      <c r="ER20" s="925"/>
      <c r="ES20" s="925"/>
      <c r="ET20" s="925"/>
      <c r="EU20" s="925"/>
      <c r="EV20" s="925"/>
      <c r="EW20" s="925"/>
      <c r="EX20" s="925"/>
      <c r="EY20" s="925"/>
      <c r="EZ20" s="925"/>
      <c r="FA20" s="925"/>
      <c r="FB20" s="925"/>
      <c r="FC20" s="925"/>
      <c r="FD20" s="925"/>
      <c r="FE20" s="925"/>
      <c r="FF20" s="925"/>
      <c r="FG20" s="925"/>
      <c r="FH20" s="925"/>
      <c r="FI20" s="925"/>
      <c r="FJ20" s="925"/>
      <c r="FK20" s="925"/>
      <c r="FL20" s="925"/>
      <c r="FM20" s="925"/>
      <c r="FN20" s="925"/>
      <c r="FO20" s="925"/>
      <c r="FP20" s="925"/>
      <c r="FQ20" s="925"/>
      <c r="FR20" s="925"/>
      <c r="FS20" s="925"/>
      <c r="FT20" s="925"/>
      <c r="FU20" s="925"/>
      <c r="FV20" s="925"/>
      <c r="FW20" s="925"/>
      <c r="FX20" s="925"/>
      <c r="FY20" s="925"/>
      <c r="FZ20" s="925"/>
      <c r="GA20" s="925"/>
      <c r="GB20" s="925"/>
      <c r="GC20" s="925"/>
      <c r="GD20" s="925"/>
      <c r="GE20" s="925"/>
      <c r="GF20" s="925"/>
      <c r="GG20" s="925"/>
      <c r="GH20" s="925"/>
      <c r="GI20" s="925"/>
      <c r="GJ20" s="925"/>
      <c r="GK20" s="925"/>
      <c r="GL20" s="925"/>
      <c r="GM20" s="925"/>
      <c r="GN20" s="925"/>
      <c r="GO20" s="925"/>
      <c r="GP20" s="925"/>
      <c r="GQ20" s="925"/>
      <c r="GR20" s="925"/>
      <c r="GS20" s="925"/>
      <c r="GT20" s="925"/>
      <c r="GU20" s="925"/>
      <c r="GV20" s="925"/>
      <c r="GW20" s="925"/>
      <c r="GX20" s="925"/>
      <c r="GY20" s="925"/>
      <c r="GZ20" s="925"/>
      <c r="HA20" s="925"/>
      <c r="HB20" s="925"/>
      <c r="HC20" s="925"/>
      <c r="HD20" s="925"/>
      <c r="HE20" s="925"/>
      <c r="HF20" s="925"/>
      <c r="HG20" s="925"/>
      <c r="HH20" s="925"/>
      <c r="HI20" s="925"/>
      <c r="HJ20" s="925"/>
      <c r="HK20" s="925"/>
      <c r="HL20" s="925"/>
      <c r="HM20" s="925"/>
      <c r="HN20" s="925"/>
      <c r="HO20" s="925"/>
      <c r="HP20" s="925"/>
      <c r="HQ20" s="925"/>
      <c r="HR20" s="925"/>
      <c r="HS20" s="925"/>
      <c r="HT20" s="925"/>
      <c r="HU20" s="925"/>
      <c r="HV20" s="925"/>
      <c r="HW20" s="925"/>
      <c r="HX20" s="925"/>
      <c r="HY20" s="925"/>
      <c r="HZ20" s="925"/>
      <c r="IA20" s="925"/>
      <c r="IB20" s="925"/>
      <c r="IC20" s="925"/>
      <c r="ID20" s="925"/>
      <c r="IE20" s="925"/>
      <c r="IF20" s="925"/>
      <c r="IG20" s="925"/>
      <c r="IH20" s="925"/>
      <c r="II20" s="925"/>
      <c r="IJ20" s="925"/>
      <c r="IK20" s="925"/>
      <c r="IL20" s="925"/>
      <c r="IM20" s="925"/>
      <c r="IN20" s="925"/>
      <c r="IO20" s="925"/>
      <c r="IP20" s="925"/>
      <c r="IQ20" s="925"/>
      <c r="IR20" s="925"/>
      <c r="IS20" s="925"/>
      <c r="IT20" s="925"/>
      <c r="IU20" s="925"/>
      <c r="IV20" s="925"/>
    </row>
    <row r="21" s="923" customFormat="1" ht="15" customHeight="1" spans="1:256">
      <c r="A21" s="942" t="s">
        <v>340</v>
      </c>
      <c r="B21" s="938">
        <f>SUM(B16:B20)</f>
        <v>3019</v>
      </c>
      <c r="C21" s="938">
        <f>SUM(C16:C20)</f>
        <v>0</v>
      </c>
      <c r="D21" s="940"/>
      <c r="E21" s="940"/>
      <c r="F21" s="940"/>
      <c r="G21" s="940"/>
      <c r="H21" s="941"/>
      <c r="I21" s="925"/>
      <c r="J21" s="925"/>
      <c r="K21" s="925"/>
      <c r="L21" s="925"/>
      <c r="M21" s="925"/>
      <c r="N21" s="925"/>
      <c r="O21" s="925"/>
      <c r="P21" s="925"/>
      <c r="Q21" s="925"/>
      <c r="R21" s="925"/>
      <c r="S21" s="925"/>
      <c r="T21" s="925"/>
      <c r="U21" s="925"/>
      <c r="V21" s="925"/>
      <c r="W21" s="925"/>
      <c r="X21" s="925"/>
      <c r="Y21" s="925"/>
      <c r="Z21" s="925"/>
      <c r="AA21" s="925"/>
      <c r="AB21" s="925"/>
      <c r="AC21" s="925"/>
      <c r="AD21" s="925"/>
      <c r="AE21" s="925"/>
      <c r="AF21" s="925"/>
      <c r="AG21" s="925"/>
      <c r="AH21" s="925"/>
      <c r="AI21" s="925"/>
      <c r="AJ21" s="925"/>
      <c r="AK21" s="925"/>
      <c r="AL21" s="925"/>
      <c r="AM21" s="925"/>
      <c r="AN21" s="925"/>
      <c r="AO21" s="925"/>
      <c r="AP21" s="925"/>
      <c r="AQ21" s="925"/>
      <c r="AR21" s="925"/>
      <c r="AS21" s="925"/>
      <c r="AT21" s="925"/>
      <c r="AU21" s="925"/>
      <c r="AV21" s="925"/>
      <c r="AW21" s="925"/>
      <c r="AX21" s="925"/>
      <c r="AY21" s="925"/>
      <c r="AZ21" s="925"/>
      <c r="BA21" s="925"/>
      <c r="BB21" s="925"/>
      <c r="BC21" s="925"/>
      <c r="BD21" s="925"/>
      <c r="BE21" s="925"/>
      <c r="BF21" s="925"/>
      <c r="BG21" s="925"/>
      <c r="BH21" s="925"/>
      <c r="BI21" s="925"/>
      <c r="BJ21" s="925"/>
      <c r="BK21" s="925"/>
      <c r="BL21" s="925"/>
      <c r="BM21" s="925"/>
      <c r="BN21" s="925"/>
      <c r="BO21" s="925"/>
      <c r="BP21" s="925"/>
      <c r="BQ21" s="925"/>
      <c r="BR21" s="925"/>
      <c r="BS21" s="925"/>
      <c r="BT21" s="925"/>
      <c r="BU21" s="925"/>
      <c r="BV21" s="925"/>
      <c r="BW21" s="925"/>
      <c r="BX21" s="925"/>
      <c r="BY21" s="925"/>
      <c r="BZ21" s="925"/>
      <c r="CA21" s="925"/>
      <c r="CB21" s="925"/>
      <c r="CC21" s="925"/>
      <c r="CD21" s="925"/>
      <c r="CE21" s="925"/>
      <c r="CF21" s="925"/>
      <c r="CG21" s="925"/>
      <c r="CH21" s="925"/>
      <c r="CI21" s="925"/>
      <c r="CJ21" s="925"/>
      <c r="CK21" s="925"/>
      <c r="CL21" s="925"/>
      <c r="CM21" s="925"/>
      <c r="CN21" s="925"/>
      <c r="CO21" s="925"/>
      <c r="CP21" s="925"/>
      <c r="CQ21" s="925"/>
      <c r="CR21" s="925"/>
      <c r="CS21" s="925"/>
      <c r="CT21" s="925"/>
      <c r="CU21" s="925"/>
      <c r="CV21" s="925"/>
      <c r="CW21" s="925"/>
      <c r="CX21" s="925"/>
      <c r="CY21" s="925"/>
      <c r="CZ21" s="925"/>
      <c r="DA21" s="925"/>
      <c r="DB21" s="925"/>
      <c r="DC21" s="925"/>
      <c r="DD21" s="925"/>
      <c r="DE21" s="925"/>
      <c r="DF21" s="925"/>
      <c r="DG21" s="925"/>
      <c r="DH21" s="925"/>
      <c r="DI21" s="925"/>
      <c r="DJ21" s="925"/>
      <c r="DK21" s="925"/>
      <c r="DL21" s="925"/>
      <c r="DM21" s="925"/>
      <c r="DN21" s="925"/>
      <c r="DO21" s="925"/>
      <c r="DP21" s="925"/>
      <c r="DQ21" s="925"/>
      <c r="DR21" s="925"/>
      <c r="DS21" s="925"/>
      <c r="DT21" s="925"/>
      <c r="DU21" s="925"/>
      <c r="DV21" s="925"/>
      <c r="DW21" s="925"/>
      <c r="DX21" s="925"/>
      <c r="DY21" s="925"/>
      <c r="DZ21" s="925"/>
      <c r="EA21" s="925"/>
      <c r="EB21" s="925"/>
      <c r="EC21" s="925"/>
      <c r="ED21" s="925"/>
      <c r="EE21" s="925"/>
      <c r="EF21" s="925"/>
      <c r="EG21" s="925"/>
      <c r="EH21" s="925"/>
      <c r="EI21" s="925"/>
      <c r="EJ21" s="925"/>
      <c r="EK21" s="925"/>
      <c r="EL21" s="925"/>
      <c r="EM21" s="925"/>
      <c r="EN21" s="925"/>
      <c r="EO21" s="925"/>
      <c r="EP21" s="925"/>
      <c r="EQ21" s="925"/>
      <c r="ER21" s="925"/>
      <c r="ES21" s="925"/>
      <c r="ET21" s="925"/>
      <c r="EU21" s="925"/>
      <c r="EV21" s="925"/>
      <c r="EW21" s="925"/>
      <c r="EX21" s="925"/>
      <c r="EY21" s="925"/>
      <c r="EZ21" s="925"/>
      <c r="FA21" s="925"/>
      <c r="FB21" s="925"/>
      <c r="FC21" s="925"/>
      <c r="FD21" s="925"/>
      <c r="FE21" s="925"/>
      <c r="FF21" s="925"/>
      <c r="FG21" s="925"/>
      <c r="FH21" s="925"/>
      <c r="FI21" s="925"/>
      <c r="FJ21" s="925"/>
      <c r="FK21" s="925"/>
      <c r="FL21" s="925"/>
      <c r="FM21" s="925"/>
      <c r="FN21" s="925"/>
      <c r="FO21" s="925"/>
      <c r="FP21" s="925"/>
      <c r="FQ21" s="925"/>
      <c r="FR21" s="925"/>
      <c r="FS21" s="925"/>
      <c r="FT21" s="925"/>
      <c r="FU21" s="925"/>
      <c r="FV21" s="925"/>
      <c r="FW21" s="925"/>
      <c r="FX21" s="925"/>
      <c r="FY21" s="925"/>
      <c r="FZ21" s="925"/>
      <c r="GA21" s="925"/>
      <c r="GB21" s="925"/>
      <c r="GC21" s="925"/>
      <c r="GD21" s="925"/>
      <c r="GE21" s="925"/>
      <c r="GF21" s="925"/>
      <c r="GG21" s="925"/>
      <c r="GH21" s="925"/>
      <c r="GI21" s="925"/>
      <c r="GJ21" s="925"/>
      <c r="GK21" s="925"/>
      <c r="GL21" s="925"/>
      <c r="GM21" s="925"/>
      <c r="GN21" s="925"/>
      <c r="GO21" s="925"/>
      <c r="GP21" s="925"/>
      <c r="GQ21" s="925"/>
      <c r="GR21" s="925"/>
      <c r="GS21" s="925"/>
      <c r="GT21" s="925"/>
      <c r="GU21" s="925"/>
      <c r="GV21" s="925"/>
      <c r="GW21" s="925"/>
      <c r="GX21" s="925"/>
      <c r="GY21" s="925"/>
      <c r="GZ21" s="925"/>
      <c r="HA21" s="925"/>
      <c r="HB21" s="925"/>
      <c r="HC21" s="925"/>
      <c r="HD21" s="925"/>
      <c r="HE21" s="925"/>
      <c r="HF21" s="925"/>
      <c r="HG21" s="925"/>
      <c r="HH21" s="925"/>
      <c r="HI21" s="925"/>
      <c r="HJ21" s="925"/>
      <c r="HK21" s="925"/>
      <c r="HL21" s="925"/>
      <c r="HM21" s="925"/>
      <c r="HN21" s="925"/>
      <c r="HO21" s="925"/>
      <c r="HP21" s="925"/>
      <c r="HQ21" s="925"/>
      <c r="HR21" s="925"/>
      <c r="HS21" s="925"/>
      <c r="HT21" s="925"/>
      <c r="HU21" s="925"/>
      <c r="HV21" s="925"/>
      <c r="HW21" s="925"/>
      <c r="HX21" s="925"/>
      <c r="HY21" s="925"/>
      <c r="HZ21" s="925"/>
      <c r="IA21" s="925"/>
      <c r="IB21" s="925"/>
      <c r="IC21" s="925"/>
      <c r="ID21" s="925"/>
      <c r="IE21" s="925"/>
      <c r="IF21" s="925"/>
      <c r="IG21" s="925"/>
      <c r="IH21" s="925"/>
      <c r="II21" s="925"/>
      <c r="IJ21" s="925"/>
      <c r="IK21" s="925"/>
      <c r="IL21" s="925"/>
      <c r="IM21" s="925"/>
      <c r="IN21" s="925"/>
      <c r="IO21" s="925"/>
      <c r="IP21" s="925"/>
      <c r="IQ21" s="925"/>
      <c r="IR21" s="925"/>
      <c r="IS21" s="925"/>
      <c r="IT21" s="925"/>
      <c r="IU21" s="925"/>
      <c r="IV21" s="925"/>
    </row>
    <row r="22" s="923" customFormat="1" ht="15" customHeight="1" spans="1:256">
      <c r="A22" s="937" t="s">
        <v>341</v>
      </c>
      <c r="B22" s="938" t="str">
        <f>IF((资产负债表!B24-资产负债表!C25+资产负债表!B25-资产负债表!C24+资产负债表!B28-资产负债表!C28+资产负债表!B29-资产负债表!C29+资产负债表!B30-资产负债表!C30+资产负债表!B35-资产负债表!C35+资产负债表!B23-资产负债表!C23)&lt;0,"",资产负债表!B24-资产负债表!C25+资产负债表!B25-资产负债表!C24+资产负债表!B28-资产负债表!C28+资产负债表!B29-资产负债表!C29+资产负债表!B30-资产负债表!C30+资产负债表!B35-资产负债表!C35+资产负债表!B23-资产负债表!C23)</f>
        <v/>
      </c>
      <c r="C22" s="939"/>
      <c r="D22" s="940"/>
      <c r="E22" s="940"/>
      <c r="F22" s="940"/>
      <c r="G22" s="940"/>
      <c r="H22" s="941"/>
      <c r="I22" s="925"/>
      <c r="J22" s="925"/>
      <c r="K22" s="925"/>
      <c r="L22" s="925"/>
      <c r="M22" s="925"/>
      <c r="N22" s="925"/>
      <c r="O22" s="925"/>
      <c r="P22" s="925"/>
      <c r="Q22" s="925"/>
      <c r="R22" s="925"/>
      <c r="S22" s="925"/>
      <c r="T22" s="925"/>
      <c r="U22" s="925"/>
      <c r="V22" s="925"/>
      <c r="W22" s="925"/>
      <c r="X22" s="925"/>
      <c r="Y22" s="925"/>
      <c r="Z22" s="925"/>
      <c r="AA22" s="925"/>
      <c r="AB22" s="925"/>
      <c r="AC22" s="925"/>
      <c r="AD22" s="925"/>
      <c r="AE22" s="925"/>
      <c r="AF22" s="925"/>
      <c r="AG22" s="925"/>
      <c r="AH22" s="925"/>
      <c r="AI22" s="925"/>
      <c r="AJ22" s="925"/>
      <c r="AK22" s="925"/>
      <c r="AL22" s="925"/>
      <c r="AM22" s="925"/>
      <c r="AN22" s="925"/>
      <c r="AO22" s="925"/>
      <c r="AP22" s="925"/>
      <c r="AQ22" s="925"/>
      <c r="AR22" s="925"/>
      <c r="AS22" s="925"/>
      <c r="AT22" s="925"/>
      <c r="AU22" s="925"/>
      <c r="AV22" s="925"/>
      <c r="AW22" s="925"/>
      <c r="AX22" s="925"/>
      <c r="AY22" s="925"/>
      <c r="AZ22" s="925"/>
      <c r="BA22" s="925"/>
      <c r="BB22" s="925"/>
      <c r="BC22" s="925"/>
      <c r="BD22" s="925"/>
      <c r="BE22" s="925"/>
      <c r="BF22" s="925"/>
      <c r="BG22" s="925"/>
      <c r="BH22" s="925"/>
      <c r="BI22" s="925"/>
      <c r="BJ22" s="925"/>
      <c r="BK22" s="925"/>
      <c r="BL22" s="925"/>
      <c r="BM22" s="925"/>
      <c r="BN22" s="925"/>
      <c r="BO22" s="925"/>
      <c r="BP22" s="925"/>
      <c r="BQ22" s="925"/>
      <c r="BR22" s="925"/>
      <c r="BS22" s="925"/>
      <c r="BT22" s="925"/>
      <c r="BU22" s="925"/>
      <c r="BV22" s="925"/>
      <c r="BW22" s="925"/>
      <c r="BX22" s="925"/>
      <c r="BY22" s="925"/>
      <c r="BZ22" s="925"/>
      <c r="CA22" s="925"/>
      <c r="CB22" s="925"/>
      <c r="CC22" s="925"/>
      <c r="CD22" s="925"/>
      <c r="CE22" s="925"/>
      <c r="CF22" s="925"/>
      <c r="CG22" s="925"/>
      <c r="CH22" s="925"/>
      <c r="CI22" s="925"/>
      <c r="CJ22" s="925"/>
      <c r="CK22" s="925"/>
      <c r="CL22" s="925"/>
      <c r="CM22" s="925"/>
      <c r="CN22" s="925"/>
      <c r="CO22" s="925"/>
      <c r="CP22" s="925"/>
      <c r="CQ22" s="925"/>
      <c r="CR22" s="925"/>
      <c r="CS22" s="925"/>
      <c r="CT22" s="925"/>
      <c r="CU22" s="925"/>
      <c r="CV22" s="925"/>
      <c r="CW22" s="925"/>
      <c r="CX22" s="925"/>
      <c r="CY22" s="925"/>
      <c r="CZ22" s="925"/>
      <c r="DA22" s="925"/>
      <c r="DB22" s="925"/>
      <c r="DC22" s="925"/>
      <c r="DD22" s="925"/>
      <c r="DE22" s="925"/>
      <c r="DF22" s="925"/>
      <c r="DG22" s="925"/>
      <c r="DH22" s="925"/>
      <c r="DI22" s="925"/>
      <c r="DJ22" s="925"/>
      <c r="DK22" s="925"/>
      <c r="DL22" s="925"/>
      <c r="DM22" s="925"/>
      <c r="DN22" s="925"/>
      <c r="DO22" s="925"/>
      <c r="DP22" s="925"/>
      <c r="DQ22" s="925"/>
      <c r="DR22" s="925"/>
      <c r="DS22" s="925"/>
      <c r="DT22" s="925"/>
      <c r="DU22" s="925"/>
      <c r="DV22" s="925"/>
      <c r="DW22" s="925"/>
      <c r="DX22" s="925"/>
      <c r="DY22" s="925"/>
      <c r="DZ22" s="925"/>
      <c r="EA22" s="925"/>
      <c r="EB22" s="925"/>
      <c r="EC22" s="925"/>
      <c r="ED22" s="925"/>
      <c r="EE22" s="925"/>
      <c r="EF22" s="925"/>
      <c r="EG22" s="925"/>
      <c r="EH22" s="925"/>
      <c r="EI22" s="925"/>
      <c r="EJ22" s="925"/>
      <c r="EK22" s="925"/>
      <c r="EL22" s="925"/>
      <c r="EM22" s="925"/>
      <c r="EN22" s="925"/>
      <c r="EO22" s="925"/>
      <c r="EP22" s="925"/>
      <c r="EQ22" s="925"/>
      <c r="ER22" s="925"/>
      <c r="ES22" s="925"/>
      <c r="ET22" s="925"/>
      <c r="EU22" s="925"/>
      <c r="EV22" s="925"/>
      <c r="EW22" s="925"/>
      <c r="EX22" s="925"/>
      <c r="EY22" s="925"/>
      <c r="EZ22" s="925"/>
      <c r="FA22" s="925"/>
      <c r="FB22" s="925"/>
      <c r="FC22" s="925"/>
      <c r="FD22" s="925"/>
      <c r="FE22" s="925"/>
      <c r="FF22" s="925"/>
      <c r="FG22" s="925"/>
      <c r="FH22" s="925"/>
      <c r="FI22" s="925"/>
      <c r="FJ22" s="925"/>
      <c r="FK22" s="925"/>
      <c r="FL22" s="925"/>
      <c r="FM22" s="925"/>
      <c r="FN22" s="925"/>
      <c r="FO22" s="925"/>
      <c r="FP22" s="925"/>
      <c r="FQ22" s="925"/>
      <c r="FR22" s="925"/>
      <c r="FS22" s="925"/>
      <c r="FT22" s="925"/>
      <c r="FU22" s="925"/>
      <c r="FV22" s="925"/>
      <c r="FW22" s="925"/>
      <c r="FX22" s="925"/>
      <c r="FY22" s="925"/>
      <c r="FZ22" s="925"/>
      <c r="GA22" s="925"/>
      <c r="GB22" s="925"/>
      <c r="GC22" s="925"/>
      <c r="GD22" s="925"/>
      <c r="GE22" s="925"/>
      <c r="GF22" s="925"/>
      <c r="GG22" s="925"/>
      <c r="GH22" s="925"/>
      <c r="GI22" s="925"/>
      <c r="GJ22" s="925"/>
      <c r="GK22" s="925"/>
      <c r="GL22" s="925"/>
      <c r="GM22" s="925"/>
      <c r="GN22" s="925"/>
      <c r="GO22" s="925"/>
      <c r="GP22" s="925"/>
      <c r="GQ22" s="925"/>
      <c r="GR22" s="925"/>
      <c r="GS22" s="925"/>
      <c r="GT22" s="925"/>
      <c r="GU22" s="925"/>
      <c r="GV22" s="925"/>
      <c r="GW22" s="925"/>
      <c r="GX22" s="925"/>
      <c r="GY22" s="925"/>
      <c r="GZ22" s="925"/>
      <c r="HA22" s="925"/>
      <c r="HB22" s="925"/>
      <c r="HC22" s="925"/>
      <c r="HD22" s="925"/>
      <c r="HE22" s="925"/>
      <c r="HF22" s="925"/>
      <c r="HG22" s="925"/>
      <c r="HH22" s="925"/>
      <c r="HI22" s="925"/>
      <c r="HJ22" s="925"/>
      <c r="HK22" s="925"/>
      <c r="HL22" s="925"/>
      <c r="HM22" s="925"/>
      <c r="HN22" s="925"/>
      <c r="HO22" s="925"/>
      <c r="HP22" s="925"/>
      <c r="HQ22" s="925"/>
      <c r="HR22" s="925"/>
      <c r="HS22" s="925"/>
      <c r="HT22" s="925"/>
      <c r="HU22" s="925"/>
      <c r="HV22" s="925"/>
      <c r="HW22" s="925"/>
      <c r="HX22" s="925"/>
      <c r="HY22" s="925"/>
      <c r="HZ22" s="925"/>
      <c r="IA22" s="925"/>
      <c r="IB22" s="925"/>
      <c r="IC22" s="925"/>
      <c r="ID22" s="925"/>
      <c r="IE22" s="925"/>
      <c r="IF22" s="925"/>
      <c r="IG22" s="925"/>
      <c r="IH22" s="925"/>
      <c r="II22" s="925"/>
      <c r="IJ22" s="925"/>
      <c r="IK22" s="925"/>
      <c r="IL22" s="925"/>
      <c r="IM22" s="925"/>
      <c r="IN22" s="925"/>
      <c r="IO22" s="925"/>
      <c r="IP22" s="925"/>
      <c r="IQ22" s="925"/>
      <c r="IR22" s="925"/>
      <c r="IS22" s="925"/>
      <c r="IT22" s="925"/>
      <c r="IU22" s="925"/>
      <c r="IV22" s="925"/>
    </row>
    <row r="23" s="923" customFormat="1" ht="15" customHeight="1" spans="1:256">
      <c r="A23" s="937" t="s">
        <v>342</v>
      </c>
      <c r="B23" s="938" t="str">
        <f>IF((资产负债表!B7-资产负债表!C7+资产负债表!B19-资产负债表!C19+资产负债表!B20-资产负债表!C20+资产负债表!B22-资产负债表!C22)&lt;0,"",资产负债表!B7-资产负债表!C7+资产负债表!B19-资产负债表!C19+资产负债表!B20-资产负债表!C20+资产负债表!B22-资产负债表!C22)</f>
        <v/>
      </c>
      <c r="C23" s="939"/>
      <c r="D23" s="940">
        <v>7</v>
      </c>
      <c r="E23" s="940" t="s">
        <v>319</v>
      </c>
      <c r="F23" s="940" t="s">
        <v>318</v>
      </c>
      <c r="G23" s="940" t="s">
        <v>318</v>
      </c>
      <c r="H23" s="941" t="s">
        <v>343</v>
      </c>
      <c r="I23" s="925"/>
      <c r="J23" s="925"/>
      <c r="K23" s="925"/>
      <c r="L23" s="925"/>
      <c r="M23" s="925"/>
      <c r="N23" s="925"/>
      <c r="O23" s="925"/>
      <c r="P23" s="925"/>
      <c r="Q23" s="925"/>
      <c r="R23" s="925"/>
      <c r="S23" s="925"/>
      <c r="T23" s="925"/>
      <c r="U23" s="925"/>
      <c r="V23" s="925"/>
      <c r="W23" s="925"/>
      <c r="X23" s="925"/>
      <c r="Y23" s="925"/>
      <c r="Z23" s="925"/>
      <c r="AA23" s="925"/>
      <c r="AB23" s="925"/>
      <c r="AC23" s="925"/>
      <c r="AD23" s="925"/>
      <c r="AE23" s="925"/>
      <c r="AF23" s="925"/>
      <c r="AG23" s="925"/>
      <c r="AH23" s="925"/>
      <c r="AI23" s="925"/>
      <c r="AJ23" s="925"/>
      <c r="AK23" s="925"/>
      <c r="AL23" s="925"/>
      <c r="AM23" s="925"/>
      <c r="AN23" s="925"/>
      <c r="AO23" s="925"/>
      <c r="AP23" s="925"/>
      <c r="AQ23" s="925"/>
      <c r="AR23" s="925"/>
      <c r="AS23" s="925"/>
      <c r="AT23" s="925"/>
      <c r="AU23" s="925"/>
      <c r="AV23" s="925"/>
      <c r="AW23" s="925"/>
      <c r="AX23" s="925"/>
      <c r="AY23" s="925"/>
      <c r="AZ23" s="925"/>
      <c r="BA23" s="925"/>
      <c r="BB23" s="925"/>
      <c r="BC23" s="925"/>
      <c r="BD23" s="925"/>
      <c r="BE23" s="925"/>
      <c r="BF23" s="925"/>
      <c r="BG23" s="925"/>
      <c r="BH23" s="925"/>
      <c r="BI23" s="925"/>
      <c r="BJ23" s="925"/>
      <c r="BK23" s="925"/>
      <c r="BL23" s="925"/>
      <c r="BM23" s="925"/>
      <c r="BN23" s="925"/>
      <c r="BO23" s="925"/>
      <c r="BP23" s="925"/>
      <c r="BQ23" s="925"/>
      <c r="BR23" s="925"/>
      <c r="BS23" s="925"/>
      <c r="BT23" s="925"/>
      <c r="BU23" s="925"/>
      <c r="BV23" s="925"/>
      <c r="BW23" s="925"/>
      <c r="BX23" s="925"/>
      <c r="BY23" s="925"/>
      <c r="BZ23" s="925"/>
      <c r="CA23" s="925"/>
      <c r="CB23" s="925"/>
      <c r="CC23" s="925"/>
      <c r="CD23" s="925"/>
      <c r="CE23" s="925"/>
      <c r="CF23" s="925"/>
      <c r="CG23" s="925"/>
      <c r="CH23" s="925"/>
      <c r="CI23" s="925"/>
      <c r="CJ23" s="925"/>
      <c r="CK23" s="925"/>
      <c r="CL23" s="925"/>
      <c r="CM23" s="925"/>
      <c r="CN23" s="925"/>
      <c r="CO23" s="925"/>
      <c r="CP23" s="925"/>
      <c r="CQ23" s="925"/>
      <c r="CR23" s="925"/>
      <c r="CS23" s="925"/>
      <c r="CT23" s="925"/>
      <c r="CU23" s="925"/>
      <c r="CV23" s="925"/>
      <c r="CW23" s="925"/>
      <c r="CX23" s="925"/>
      <c r="CY23" s="925"/>
      <c r="CZ23" s="925"/>
      <c r="DA23" s="925"/>
      <c r="DB23" s="925"/>
      <c r="DC23" s="925"/>
      <c r="DD23" s="925"/>
      <c r="DE23" s="925"/>
      <c r="DF23" s="925"/>
      <c r="DG23" s="925"/>
      <c r="DH23" s="925"/>
      <c r="DI23" s="925"/>
      <c r="DJ23" s="925"/>
      <c r="DK23" s="925"/>
      <c r="DL23" s="925"/>
      <c r="DM23" s="925"/>
      <c r="DN23" s="925"/>
      <c r="DO23" s="925"/>
      <c r="DP23" s="925"/>
      <c r="DQ23" s="925"/>
      <c r="DR23" s="925"/>
      <c r="DS23" s="925"/>
      <c r="DT23" s="925"/>
      <c r="DU23" s="925"/>
      <c r="DV23" s="925"/>
      <c r="DW23" s="925"/>
      <c r="DX23" s="925"/>
      <c r="DY23" s="925"/>
      <c r="DZ23" s="925"/>
      <c r="EA23" s="925"/>
      <c r="EB23" s="925"/>
      <c r="EC23" s="925"/>
      <c r="ED23" s="925"/>
      <c r="EE23" s="925"/>
      <c r="EF23" s="925"/>
      <c r="EG23" s="925"/>
      <c r="EH23" s="925"/>
      <c r="EI23" s="925"/>
      <c r="EJ23" s="925"/>
      <c r="EK23" s="925"/>
      <c r="EL23" s="925"/>
      <c r="EM23" s="925"/>
      <c r="EN23" s="925"/>
      <c r="EO23" s="925"/>
      <c r="EP23" s="925"/>
      <c r="EQ23" s="925"/>
      <c r="ER23" s="925"/>
      <c r="ES23" s="925"/>
      <c r="ET23" s="925"/>
      <c r="EU23" s="925"/>
      <c r="EV23" s="925"/>
      <c r="EW23" s="925"/>
      <c r="EX23" s="925"/>
      <c r="EY23" s="925"/>
      <c r="EZ23" s="925"/>
      <c r="FA23" s="925"/>
      <c r="FB23" s="925"/>
      <c r="FC23" s="925"/>
      <c r="FD23" s="925"/>
      <c r="FE23" s="925"/>
      <c r="FF23" s="925"/>
      <c r="FG23" s="925"/>
      <c r="FH23" s="925"/>
      <c r="FI23" s="925"/>
      <c r="FJ23" s="925"/>
      <c r="FK23" s="925"/>
      <c r="FL23" s="925"/>
      <c r="FM23" s="925"/>
      <c r="FN23" s="925"/>
      <c r="FO23" s="925"/>
      <c r="FP23" s="925"/>
      <c r="FQ23" s="925"/>
      <c r="FR23" s="925"/>
      <c r="FS23" s="925"/>
      <c r="FT23" s="925"/>
      <c r="FU23" s="925"/>
      <c r="FV23" s="925"/>
      <c r="FW23" s="925"/>
      <c r="FX23" s="925"/>
      <c r="FY23" s="925"/>
      <c r="FZ23" s="925"/>
      <c r="GA23" s="925"/>
      <c r="GB23" s="925"/>
      <c r="GC23" s="925"/>
      <c r="GD23" s="925"/>
      <c r="GE23" s="925"/>
      <c r="GF23" s="925"/>
      <c r="GG23" s="925"/>
      <c r="GH23" s="925"/>
      <c r="GI23" s="925"/>
      <c r="GJ23" s="925"/>
      <c r="GK23" s="925"/>
      <c r="GL23" s="925"/>
      <c r="GM23" s="925"/>
      <c r="GN23" s="925"/>
      <c r="GO23" s="925"/>
      <c r="GP23" s="925"/>
      <c r="GQ23" s="925"/>
      <c r="GR23" s="925"/>
      <c r="GS23" s="925"/>
      <c r="GT23" s="925"/>
      <c r="GU23" s="925"/>
      <c r="GV23" s="925"/>
      <c r="GW23" s="925"/>
      <c r="GX23" s="925"/>
      <c r="GY23" s="925"/>
      <c r="GZ23" s="925"/>
      <c r="HA23" s="925"/>
      <c r="HB23" s="925"/>
      <c r="HC23" s="925"/>
      <c r="HD23" s="925"/>
      <c r="HE23" s="925"/>
      <c r="HF23" s="925"/>
      <c r="HG23" s="925"/>
      <c r="HH23" s="925"/>
      <c r="HI23" s="925"/>
      <c r="HJ23" s="925"/>
      <c r="HK23" s="925"/>
      <c r="HL23" s="925"/>
      <c r="HM23" s="925"/>
      <c r="HN23" s="925"/>
      <c r="HO23" s="925"/>
      <c r="HP23" s="925"/>
      <c r="HQ23" s="925"/>
      <c r="HR23" s="925"/>
      <c r="HS23" s="925"/>
      <c r="HT23" s="925"/>
      <c r="HU23" s="925"/>
      <c r="HV23" s="925"/>
      <c r="HW23" s="925"/>
      <c r="HX23" s="925"/>
      <c r="HY23" s="925"/>
      <c r="HZ23" s="925"/>
      <c r="IA23" s="925"/>
      <c r="IB23" s="925"/>
      <c r="IC23" s="925"/>
      <c r="ID23" s="925"/>
      <c r="IE23" s="925"/>
      <c r="IF23" s="925"/>
      <c r="IG23" s="925"/>
      <c r="IH23" s="925"/>
      <c r="II23" s="925"/>
      <c r="IJ23" s="925"/>
      <c r="IK23" s="925"/>
      <c r="IL23" s="925"/>
      <c r="IM23" s="925"/>
      <c r="IN23" s="925"/>
      <c r="IO23" s="925"/>
      <c r="IP23" s="925"/>
      <c r="IQ23" s="925"/>
      <c r="IR23" s="925"/>
      <c r="IS23" s="925"/>
      <c r="IT23" s="925"/>
      <c r="IU23" s="925"/>
      <c r="IV23" s="925"/>
    </row>
    <row r="24" s="923" customFormat="1" ht="15" customHeight="1" spans="1:256">
      <c r="A24" s="937" t="s">
        <v>344</v>
      </c>
      <c r="B24" s="938">
        <f>表外数据录入!C63</f>
        <v>0</v>
      </c>
      <c r="C24" s="939"/>
      <c r="D24" s="940"/>
      <c r="E24" s="940"/>
      <c r="F24" s="940"/>
      <c r="G24" s="940"/>
      <c r="H24" s="941"/>
      <c r="I24" s="925"/>
      <c r="J24" s="925"/>
      <c r="K24" s="925"/>
      <c r="L24" s="925"/>
      <c r="M24" s="925"/>
      <c r="N24" s="925"/>
      <c r="O24" s="925"/>
      <c r="P24" s="925"/>
      <c r="Q24" s="925"/>
      <c r="R24" s="925"/>
      <c r="S24" s="925"/>
      <c r="T24" s="925"/>
      <c r="U24" s="925"/>
      <c r="V24" s="925"/>
      <c r="W24" s="925"/>
      <c r="X24" s="925"/>
      <c r="Y24" s="925"/>
      <c r="Z24" s="925"/>
      <c r="AA24" s="925"/>
      <c r="AB24" s="925"/>
      <c r="AC24" s="925"/>
      <c r="AD24" s="925"/>
      <c r="AE24" s="925"/>
      <c r="AF24" s="925"/>
      <c r="AG24" s="925"/>
      <c r="AH24" s="925"/>
      <c r="AI24" s="925"/>
      <c r="AJ24" s="925"/>
      <c r="AK24" s="925"/>
      <c r="AL24" s="925"/>
      <c r="AM24" s="925"/>
      <c r="AN24" s="925"/>
      <c r="AO24" s="925"/>
      <c r="AP24" s="925"/>
      <c r="AQ24" s="925"/>
      <c r="AR24" s="925"/>
      <c r="AS24" s="925"/>
      <c r="AT24" s="925"/>
      <c r="AU24" s="925"/>
      <c r="AV24" s="925"/>
      <c r="AW24" s="925"/>
      <c r="AX24" s="925"/>
      <c r="AY24" s="925"/>
      <c r="AZ24" s="925"/>
      <c r="BA24" s="925"/>
      <c r="BB24" s="925"/>
      <c r="BC24" s="925"/>
      <c r="BD24" s="925"/>
      <c r="BE24" s="925"/>
      <c r="BF24" s="925"/>
      <c r="BG24" s="925"/>
      <c r="BH24" s="925"/>
      <c r="BI24" s="925"/>
      <c r="BJ24" s="925"/>
      <c r="BK24" s="925"/>
      <c r="BL24" s="925"/>
      <c r="BM24" s="925"/>
      <c r="BN24" s="925"/>
      <c r="BO24" s="925"/>
      <c r="BP24" s="925"/>
      <c r="BQ24" s="925"/>
      <c r="BR24" s="925"/>
      <c r="BS24" s="925"/>
      <c r="BT24" s="925"/>
      <c r="BU24" s="925"/>
      <c r="BV24" s="925"/>
      <c r="BW24" s="925"/>
      <c r="BX24" s="925"/>
      <c r="BY24" s="925"/>
      <c r="BZ24" s="925"/>
      <c r="CA24" s="925"/>
      <c r="CB24" s="925"/>
      <c r="CC24" s="925"/>
      <c r="CD24" s="925"/>
      <c r="CE24" s="925"/>
      <c r="CF24" s="925"/>
      <c r="CG24" s="925"/>
      <c r="CH24" s="925"/>
      <c r="CI24" s="925"/>
      <c r="CJ24" s="925"/>
      <c r="CK24" s="925"/>
      <c r="CL24" s="925"/>
      <c r="CM24" s="925"/>
      <c r="CN24" s="925"/>
      <c r="CO24" s="925"/>
      <c r="CP24" s="925"/>
      <c r="CQ24" s="925"/>
      <c r="CR24" s="925"/>
      <c r="CS24" s="925"/>
      <c r="CT24" s="925"/>
      <c r="CU24" s="925"/>
      <c r="CV24" s="925"/>
      <c r="CW24" s="925"/>
      <c r="CX24" s="925"/>
      <c r="CY24" s="925"/>
      <c r="CZ24" s="925"/>
      <c r="DA24" s="925"/>
      <c r="DB24" s="925"/>
      <c r="DC24" s="925"/>
      <c r="DD24" s="925"/>
      <c r="DE24" s="925"/>
      <c r="DF24" s="925"/>
      <c r="DG24" s="925"/>
      <c r="DH24" s="925"/>
      <c r="DI24" s="925"/>
      <c r="DJ24" s="925"/>
      <c r="DK24" s="925"/>
      <c r="DL24" s="925"/>
      <c r="DM24" s="925"/>
      <c r="DN24" s="925"/>
      <c r="DO24" s="925"/>
      <c r="DP24" s="925"/>
      <c r="DQ24" s="925"/>
      <c r="DR24" s="925"/>
      <c r="DS24" s="925"/>
      <c r="DT24" s="925"/>
      <c r="DU24" s="925"/>
      <c r="DV24" s="925"/>
      <c r="DW24" s="925"/>
      <c r="DX24" s="925"/>
      <c r="DY24" s="925"/>
      <c r="DZ24" s="925"/>
      <c r="EA24" s="925"/>
      <c r="EB24" s="925"/>
      <c r="EC24" s="925"/>
      <c r="ED24" s="925"/>
      <c r="EE24" s="925"/>
      <c r="EF24" s="925"/>
      <c r="EG24" s="925"/>
      <c r="EH24" s="925"/>
      <c r="EI24" s="925"/>
      <c r="EJ24" s="925"/>
      <c r="EK24" s="925"/>
      <c r="EL24" s="925"/>
      <c r="EM24" s="925"/>
      <c r="EN24" s="925"/>
      <c r="EO24" s="925"/>
      <c r="EP24" s="925"/>
      <c r="EQ24" s="925"/>
      <c r="ER24" s="925"/>
      <c r="ES24" s="925"/>
      <c r="ET24" s="925"/>
      <c r="EU24" s="925"/>
      <c r="EV24" s="925"/>
      <c r="EW24" s="925"/>
      <c r="EX24" s="925"/>
      <c r="EY24" s="925"/>
      <c r="EZ24" s="925"/>
      <c r="FA24" s="925"/>
      <c r="FB24" s="925"/>
      <c r="FC24" s="925"/>
      <c r="FD24" s="925"/>
      <c r="FE24" s="925"/>
      <c r="FF24" s="925"/>
      <c r="FG24" s="925"/>
      <c r="FH24" s="925"/>
      <c r="FI24" s="925"/>
      <c r="FJ24" s="925"/>
      <c r="FK24" s="925"/>
      <c r="FL24" s="925"/>
      <c r="FM24" s="925"/>
      <c r="FN24" s="925"/>
      <c r="FO24" s="925"/>
      <c r="FP24" s="925"/>
      <c r="FQ24" s="925"/>
      <c r="FR24" s="925"/>
      <c r="FS24" s="925"/>
      <c r="FT24" s="925"/>
      <c r="FU24" s="925"/>
      <c r="FV24" s="925"/>
      <c r="FW24" s="925"/>
      <c r="FX24" s="925"/>
      <c r="FY24" s="925"/>
      <c r="FZ24" s="925"/>
      <c r="GA24" s="925"/>
      <c r="GB24" s="925"/>
      <c r="GC24" s="925"/>
      <c r="GD24" s="925"/>
      <c r="GE24" s="925"/>
      <c r="GF24" s="925"/>
      <c r="GG24" s="925"/>
      <c r="GH24" s="925"/>
      <c r="GI24" s="925"/>
      <c r="GJ24" s="925"/>
      <c r="GK24" s="925"/>
      <c r="GL24" s="925"/>
      <c r="GM24" s="925"/>
      <c r="GN24" s="925"/>
      <c r="GO24" s="925"/>
      <c r="GP24" s="925"/>
      <c r="GQ24" s="925"/>
      <c r="GR24" s="925"/>
      <c r="GS24" s="925"/>
      <c r="GT24" s="925"/>
      <c r="GU24" s="925"/>
      <c r="GV24" s="925"/>
      <c r="GW24" s="925"/>
      <c r="GX24" s="925"/>
      <c r="GY24" s="925"/>
      <c r="GZ24" s="925"/>
      <c r="HA24" s="925"/>
      <c r="HB24" s="925"/>
      <c r="HC24" s="925"/>
      <c r="HD24" s="925"/>
      <c r="HE24" s="925"/>
      <c r="HF24" s="925"/>
      <c r="HG24" s="925"/>
      <c r="HH24" s="925"/>
      <c r="HI24" s="925"/>
      <c r="HJ24" s="925"/>
      <c r="HK24" s="925"/>
      <c r="HL24" s="925"/>
      <c r="HM24" s="925"/>
      <c r="HN24" s="925"/>
      <c r="HO24" s="925"/>
      <c r="HP24" s="925"/>
      <c r="HQ24" s="925"/>
      <c r="HR24" s="925"/>
      <c r="HS24" s="925"/>
      <c r="HT24" s="925"/>
      <c r="HU24" s="925"/>
      <c r="HV24" s="925"/>
      <c r="HW24" s="925"/>
      <c r="HX24" s="925"/>
      <c r="HY24" s="925"/>
      <c r="HZ24" s="925"/>
      <c r="IA24" s="925"/>
      <c r="IB24" s="925"/>
      <c r="IC24" s="925"/>
      <c r="ID24" s="925"/>
      <c r="IE24" s="925"/>
      <c r="IF24" s="925"/>
      <c r="IG24" s="925"/>
      <c r="IH24" s="925"/>
      <c r="II24" s="925"/>
      <c r="IJ24" s="925"/>
      <c r="IK24" s="925"/>
      <c r="IL24" s="925"/>
      <c r="IM24" s="925"/>
      <c r="IN24" s="925"/>
      <c r="IO24" s="925"/>
      <c r="IP24" s="925"/>
      <c r="IQ24" s="925"/>
      <c r="IR24" s="925"/>
      <c r="IS24" s="925"/>
      <c r="IT24" s="925"/>
      <c r="IU24" s="925"/>
      <c r="IV24" s="925"/>
    </row>
    <row r="25" s="923" customFormat="1" ht="15" customHeight="1" spans="1:256">
      <c r="A25" s="937" t="s">
        <v>345</v>
      </c>
      <c r="B25" s="938">
        <f>表外数据录入!C65</f>
        <v>0</v>
      </c>
      <c r="C25" s="939"/>
      <c r="D25" s="940"/>
      <c r="E25" s="940"/>
      <c r="F25" s="940"/>
      <c r="G25" s="940"/>
      <c r="H25" s="941"/>
      <c r="I25" s="925"/>
      <c r="J25" s="925"/>
      <c r="K25" s="925"/>
      <c r="L25" s="925"/>
      <c r="M25" s="925"/>
      <c r="N25" s="925"/>
      <c r="O25" s="925"/>
      <c r="P25" s="925"/>
      <c r="Q25" s="925"/>
      <c r="R25" s="925"/>
      <c r="S25" s="925"/>
      <c r="T25" s="925"/>
      <c r="U25" s="925"/>
      <c r="V25" s="925"/>
      <c r="W25" s="925"/>
      <c r="X25" s="925"/>
      <c r="Y25" s="925"/>
      <c r="Z25" s="925"/>
      <c r="AA25" s="925"/>
      <c r="AB25" s="925"/>
      <c r="AC25" s="925"/>
      <c r="AD25" s="925"/>
      <c r="AE25" s="925"/>
      <c r="AF25" s="925"/>
      <c r="AG25" s="925"/>
      <c r="AH25" s="925"/>
      <c r="AI25" s="925"/>
      <c r="AJ25" s="925"/>
      <c r="AK25" s="925"/>
      <c r="AL25" s="925"/>
      <c r="AM25" s="925"/>
      <c r="AN25" s="925"/>
      <c r="AO25" s="925"/>
      <c r="AP25" s="925"/>
      <c r="AQ25" s="925"/>
      <c r="AR25" s="925"/>
      <c r="AS25" s="925"/>
      <c r="AT25" s="925"/>
      <c r="AU25" s="925"/>
      <c r="AV25" s="925"/>
      <c r="AW25" s="925"/>
      <c r="AX25" s="925"/>
      <c r="AY25" s="925"/>
      <c r="AZ25" s="925"/>
      <c r="BA25" s="925"/>
      <c r="BB25" s="925"/>
      <c r="BC25" s="925"/>
      <c r="BD25" s="925"/>
      <c r="BE25" s="925"/>
      <c r="BF25" s="925"/>
      <c r="BG25" s="925"/>
      <c r="BH25" s="925"/>
      <c r="BI25" s="925"/>
      <c r="BJ25" s="925"/>
      <c r="BK25" s="925"/>
      <c r="BL25" s="925"/>
      <c r="BM25" s="925"/>
      <c r="BN25" s="925"/>
      <c r="BO25" s="925"/>
      <c r="BP25" s="925"/>
      <c r="BQ25" s="925"/>
      <c r="BR25" s="925"/>
      <c r="BS25" s="925"/>
      <c r="BT25" s="925"/>
      <c r="BU25" s="925"/>
      <c r="BV25" s="925"/>
      <c r="BW25" s="925"/>
      <c r="BX25" s="925"/>
      <c r="BY25" s="925"/>
      <c r="BZ25" s="925"/>
      <c r="CA25" s="925"/>
      <c r="CB25" s="925"/>
      <c r="CC25" s="925"/>
      <c r="CD25" s="925"/>
      <c r="CE25" s="925"/>
      <c r="CF25" s="925"/>
      <c r="CG25" s="925"/>
      <c r="CH25" s="925"/>
      <c r="CI25" s="925"/>
      <c r="CJ25" s="925"/>
      <c r="CK25" s="925"/>
      <c r="CL25" s="925"/>
      <c r="CM25" s="925"/>
      <c r="CN25" s="925"/>
      <c r="CO25" s="925"/>
      <c r="CP25" s="925"/>
      <c r="CQ25" s="925"/>
      <c r="CR25" s="925"/>
      <c r="CS25" s="925"/>
      <c r="CT25" s="925"/>
      <c r="CU25" s="925"/>
      <c r="CV25" s="925"/>
      <c r="CW25" s="925"/>
      <c r="CX25" s="925"/>
      <c r="CY25" s="925"/>
      <c r="CZ25" s="925"/>
      <c r="DA25" s="925"/>
      <c r="DB25" s="925"/>
      <c r="DC25" s="925"/>
      <c r="DD25" s="925"/>
      <c r="DE25" s="925"/>
      <c r="DF25" s="925"/>
      <c r="DG25" s="925"/>
      <c r="DH25" s="925"/>
      <c r="DI25" s="925"/>
      <c r="DJ25" s="925"/>
      <c r="DK25" s="925"/>
      <c r="DL25" s="925"/>
      <c r="DM25" s="925"/>
      <c r="DN25" s="925"/>
      <c r="DO25" s="925"/>
      <c r="DP25" s="925"/>
      <c r="DQ25" s="925"/>
      <c r="DR25" s="925"/>
      <c r="DS25" s="925"/>
      <c r="DT25" s="925"/>
      <c r="DU25" s="925"/>
      <c r="DV25" s="925"/>
      <c r="DW25" s="925"/>
      <c r="DX25" s="925"/>
      <c r="DY25" s="925"/>
      <c r="DZ25" s="925"/>
      <c r="EA25" s="925"/>
      <c r="EB25" s="925"/>
      <c r="EC25" s="925"/>
      <c r="ED25" s="925"/>
      <c r="EE25" s="925"/>
      <c r="EF25" s="925"/>
      <c r="EG25" s="925"/>
      <c r="EH25" s="925"/>
      <c r="EI25" s="925"/>
      <c r="EJ25" s="925"/>
      <c r="EK25" s="925"/>
      <c r="EL25" s="925"/>
      <c r="EM25" s="925"/>
      <c r="EN25" s="925"/>
      <c r="EO25" s="925"/>
      <c r="EP25" s="925"/>
      <c r="EQ25" s="925"/>
      <c r="ER25" s="925"/>
      <c r="ES25" s="925"/>
      <c r="ET25" s="925"/>
      <c r="EU25" s="925"/>
      <c r="EV25" s="925"/>
      <c r="EW25" s="925"/>
      <c r="EX25" s="925"/>
      <c r="EY25" s="925"/>
      <c r="EZ25" s="925"/>
      <c r="FA25" s="925"/>
      <c r="FB25" s="925"/>
      <c r="FC25" s="925"/>
      <c r="FD25" s="925"/>
      <c r="FE25" s="925"/>
      <c r="FF25" s="925"/>
      <c r="FG25" s="925"/>
      <c r="FH25" s="925"/>
      <c r="FI25" s="925"/>
      <c r="FJ25" s="925"/>
      <c r="FK25" s="925"/>
      <c r="FL25" s="925"/>
      <c r="FM25" s="925"/>
      <c r="FN25" s="925"/>
      <c r="FO25" s="925"/>
      <c r="FP25" s="925"/>
      <c r="FQ25" s="925"/>
      <c r="FR25" s="925"/>
      <c r="FS25" s="925"/>
      <c r="FT25" s="925"/>
      <c r="FU25" s="925"/>
      <c r="FV25" s="925"/>
      <c r="FW25" s="925"/>
      <c r="FX25" s="925"/>
      <c r="FY25" s="925"/>
      <c r="FZ25" s="925"/>
      <c r="GA25" s="925"/>
      <c r="GB25" s="925"/>
      <c r="GC25" s="925"/>
      <c r="GD25" s="925"/>
      <c r="GE25" s="925"/>
      <c r="GF25" s="925"/>
      <c r="GG25" s="925"/>
      <c r="GH25" s="925"/>
      <c r="GI25" s="925"/>
      <c r="GJ25" s="925"/>
      <c r="GK25" s="925"/>
      <c r="GL25" s="925"/>
      <c r="GM25" s="925"/>
      <c r="GN25" s="925"/>
      <c r="GO25" s="925"/>
      <c r="GP25" s="925"/>
      <c r="GQ25" s="925"/>
      <c r="GR25" s="925"/>
      <c r="GS25" s="925"/>
      <c r="GT25" s="925"/>
      <c r="GU25" s="925"/>
      <c r="GV25" s="925"/>
      <c r="GW25" s="925"/>
      <c r="GX25" s="925"/>
      <c r="GY25" s="925"/>
      <c r="GZ25" s="925"/>
      <c r="HA25" s="925"/>
      <c r="HB25" s="925"/>
      <c r="HC25" s="925"/>
      <c r="HD25" s="925"/>
      <c r="HE25" s="925"/>
      <c r="HF25" s="925"/>
      <c r="HG25" s="925"/>
      <c r="HH25" s="925"/>
      <c r="HI25" s="925"/>
      <c r="HJ25" s="925"/>
      <c r="HK25" s="925"/>
      <c r="HL25" s="925"/>
      <c r="HM25" s="925"/>
      <c r="HN25" s="925"/>
      <c r="HO25" s="925"/>
      <c r="HP25" s="925"/>
      <c r="HQ25" s="925"/>
      <c r="HR25" s="925"/>
      <c r="HS25" s="925"/>
      <c r="HT25" s="925"/>
      <c r="HU25" s="925"/>
      <c r="HV25" s="925"/>
      <c r="HW25" s="925"/>
      <c r="HX25" s="925"/>
      <c r="HY25" s="925"/>
      <c r="HZ25" s="925"/>
      <c r="IA25" s="925"/>
      <c r="IB25" s="925"/>
      <c r="IC25" s="925"/>
      <c r="ID25" s="925"/>
      <c r="IE25" s="925"/>
      <c r="IF25" s="925"/>
      <c r="IG25" s="925"/>
      <c r="IH25" s="925"/>
      <c r="II25" s="925"/>
      <c r="IJ25" s="925"/>
      <c r="IK25" s="925"/>
      <c r="IL25" s="925"/>
      <c r="IM25" s="925"/>
      <c r="IN25" s="925"/>
      <c r="IO25" s="925"/>
      <c r="IP25" s="925"/>
      <c r="IQ25" s="925"/>
      <c r="IR25" s="925"/>
      <c r="IS25" s="925"/>
      <c r="IT25" s="925"/>
      <c r="IU25" s="925"/>
      <c r="IV25" s="925"/>
    </row>
    <row r="26" s="923" customFormat="1" ht="15" customHeight="1" spans="1:256">
      <c r="A26" s="942" t="s">
        <v>346</v>
      </c>
      <c r="B26" s="938">
        <f>SUM(B22:B25)</f>
        <v>0</v>
      </c>
      <c r="C26" s="938">
        <f>SUM(C22:C25)</f>
        <v>0</v>
      </c>
      <c r="D26" s="940">
        <v>8</v>
      </c>
      <c r="E26" s="940" t="s">
        <v>319</v>
      </c>
      <c r="F26" s="940" t="s">
        <v>318</v>
      </c>
      <c r="G26" s="940" t="s">
        <v>319</v>
      </c>
      <c r="H26" s="941" t="s">
        <v>347</v>
      </c>
      <c r="I26" s="925"/>
      <c r="J26" s="925"/>
      <c r="K26" s="925"/>
      <c r="L26" s="925"/>
      <c r="M26" s="925"/>
      <c r="N26" s="925"/>
      <c r="O26" s="925"/>
      <c r="P26" s="925"/>
      <c r="Q26" s="925"/>
      <c r="R26" s="925"/>
      <c r="S26" s="925"/>
      <c r="T26" s="925"/>
      <c r="U26" s="925"/>
      <c r="V26" s="925"/>
      <c r="W26" s="925"/>
      <c r="X26" s="925"/>
      <c r="Y26" s="925"/>
      <c r="Z26" s="925"/>
      <c r="AA26" s="925"/>
      <c r="AB26" s="925"/>
      <c r="AC26" s="925"/>
      <c r="AD26" s="925"/>
      <c r="AE26" s="925"/>
      <c r="AF26" s="925"/>
      <c r="AG26" s="925"/>
      <c r="AH26" s="925"/>
      <c r="AI26" s="925"/>
      <c r="AJ26" s="925"/>
      <c r="AK26" s="925"/>
      <c r="AL26" s="925"/>
      <c r="AM26" s="925"/>
      <c r="AN26" s="925"/>
      <c r="AO26" s="925"/>
      <c r="AP26" s="925"/>
      <c r="AQ26" s="925"/>
      <c r="AR26" s="925"/>
      <c r="AS26" s="925"/>
      <c r="AT26" s="925"/>
      <c r="AU26" s="925"/>
      <c r="AV26" s="925"/>
      <c r="AW26" s="925"/>
      <c r="AX26" s="925"/>
      <c r="AY26" s="925"/>
      <c r="AZ26" s="925"/>
      <c r="BA26" s="925"/>
      <c r="BB26" s="925"/>
      <c r="BC26" s="925"/>
      <c r="BD26" s="925"/>
      <c r="BE26" s="925"/>
      <c r="BF26" s="925"/>
      <c r="BG26" s="925"/>
      <c r="BH26" s="925"/>
      <c r="BI26" s="925"/>
      <c r="BJ26" s="925"/>
      <c r="BK26" s="925"/>
      <c r="BL26" s="925"/>
      <c r="BM26" s="925"/>
      <c r="BN26" s="925"/>
      <c r="BO26" s="925"/>
      <c r="BP26" s="925"/>
      <c r="BQ26" s="925"/>
      <c r="BR26" s="925"/>
      <c r="BS26" s="925"/>
      <c r="BT26" s="925"/>
      <c r="BU26" s="925"/>
      <c r="BV26" s="925"/>
      <c r="BW26" s="925"/>
      <c r="BX26" s="925"/>
      <c r="BY26" s="925"/>
      <c r="BZ26" s="925"/>
      <c r="CA26" s="925"/>
      <c r="CB26" s="925"/>
      <c r="CC26" s="925"/>
      <c r="CD26" s="925"/>
      <c r="CE26" s="925"/>
      <c r="CF26" s="925"/>
      <c r="CG26" s="925"/>
      <c r="CH26" s="925"/>
      <c r="CI26" s="925"/>
      <c r="CJ26" s="925"/>
      <c r="CK26" s="925"/>
      <c r="CL26" s="925"/>
      <c r="CM26" s="925"/>
      <c r="CN26" s="925"/>
      <c r="CO26" s="925"/>
      <c r="CP26" s="925"/>
      <c r="CQ26" s="925"/>
      <c r="CR26" s="925"/>
      <c r="CS26" s="925"/>
      <c r="CT26" s="925"/>
      <c r="CU26" s="925"/>
      <c r="CV26" s="925"/>
      <c r="CW26" s="925"/>
      <c r="CX26" s="925"/>
      <c r="CY26" s="925"/>
      <c r="CZ26" s="925"/>
      <c r="DA26" s="925"/>
      <c r="DB26" s="925"/>
      <c r="DC26" s="925"/>
      <c r="DD26" s="925"/>
      <c r="DE26" s="925"/>
      <c r="DF26" s="925"/>
      <c r="DG26" s="925"/>
      <c r="DH26" s="925"/>
      <c r="DI26" s="925"/>
      <c r="DJ26" s="925"/>
      <c r="DK26" s="925"/>
      <c r="DL26" s="925"/>
      <c r="DM26" s="925"/>
      <c r="DN26" s="925"/>
      <c r="DO26" s="925"/>
      <c r="DP26" s="925"/>
      <c r="DQ26" s="925"/>
      <c r="DR26" s="925"/>
      <c r="DS26" s="925"/>
      <c r="DT26" s="925"/>
      <c r="DU26" s="925"/>
      <c r="DV26" s="925"/>
      <c r="DW26" s="925"/>
      <c r="DX26" s="925"/>
      <c r="DY26" s="925"/>
      <c r="DZ26" s="925"/>
      <c r="EA26" s="925"/>
      <c r="EB26" s="925"/>
      <c r="EC26" s="925"/>
      <c r="ED26" s="925"/>
      <c r="EE26" s="925"/>
      <c r="EF26" s="925"/>
      <c r="EG26" s="925"/>
      <c r="EH26" s="925"/>
      <c r="EI26" s="925"/>
      <c r="EJ26" s="925"/>
      <c r="EK26" s="925"/>
      <c r="EL26" s="925"/>
      <c r="EM26" s="925"/>
      <c r="EN26" s="925"/>
      <c r="EO26" s="925"/>
      <c r="EP26" s="925"/>
      <c r="EQ26" s="925"/>
      <c r="ER26" s="925"/>
      <c r="ES26" s="925"/>
      <c r="ET26" s="925"/>
      <c r="EU26" s="925"/>
      <c r="EV26" s="925"/>
      <c r="EW26" s="925"/>
      <c r="EX26" s="925"/>
      <c r="EY26" s="925"/>
      <c r="EZ26" s="925"/>
      <c r="FA26" s="925"/>
      <c r="FB26" s="925"/>
      <c r="FC26" s="925"/>
      <c r="FD26" s="925"/>
      <c r="FE26" s="925"/>
      <c r="FF26" s="925"/>
      <c r="FG26" s="925"/>
      <c r="FH26" s="925"/>
      <c r="FI26" s="925"/>
      <c r="FJ26" s="925"/>
      <c r="FK26" s="925"/>
      <c r="FL26" s="925"/>
      <c r="FM26" s="925"/>
      <c r="FN26" s="925"/>
      <c r="FO26" s="925"/>
      <c r="FP26" s="925"/>
      <c r="FQ26" s="925"/>
      <c r="FR26" s="925"/>
      <c r="FS26" s="925"/>
      <c r="FT26" s="925"/>
      <c r="FU26" s="925"/>
      <c r="FV26" s="925"/>
      <c r="FW26" s="925"/>
      <c r="FX26" s="925"/>
      <c r="FY26" s="925"/>
      <c r="FZ26" s="925"/>
      <c r="GA26" s="925"/>
      <c r="GB26" s="925"/>
      <c r="GC26" s="925"/>
      <c r="GD26" s="925"/>
      <c r="GE26" s="925"/>
      <c r="GF26" s="925"/>
      <c r="GG26" s="925"/>
      <c r="GH26" s="925"/>
      <c r="GI26" s="925"/>
      <c r="GJ26" s="925"/>
      <c r="GK26" s="925"/>
      <c r="GL26" s="925"/>
      <c r="GM26" s="925"/>
      <c r="GN26" s="925"/>
      <c r="GO26" s="925"/>
      <c r="GP26" s="925"/>
      <c r="GQ26" s="925"/>
      <c r="GR26" s="925"/>
      <c r="GS26" s="925"/>
      <c r="GT26" s="925"/>
      <c r="GU26" s="925"/>
      <c r="GV26" s="925"/>
      <c r="GW26" s="925"/>
      <c r="GX26" s="925"/>
      <c r="GY26" s="925"/>
      <c r="GZ26" s="925"/>
      <c r="HA26" s="925"/>
      <c r="HB26" s="925"/>
      <c r="HC26" s="925"/>
      <c r="HD26" s="925"/>
      <c r="HE26" s="925"/>
      <c r="HF26" s="925"/>
      <c r="HG26" s="925"/>
      <c r="HH26" s="925"/>
      <c r="HI26" s="925"/>
      <c r="HJ26" s="925"/>
      <c r="HK26" s="925"/>
      <c r="HL26" s="925"/>
      <c r="HM26" s="925"/>
      <c r="HN26" s="925"/>
      <c r="HO26" s="925"/>
      <c r="HP26" s="925"/>
      <c r="HQ26" s="925"/>
      <c r="HR26" s="925"/>
      <c r="HS26" s="925"/>
      <c r="HT26" s="925"/>
      <c r="HU26" s="925"/>
      <c r="HV26" s="925"/>
      <c r="HW26" s="925"/>
      <c r="HX26" s="925"/>
      <c r="HY26" s="925"/>
      <c r="HZ26" s="925"/>
      <c r="IA26" s="925"/>
      <c r="IB26" s="925"/>
      <c r="IC26" s="925"/>
      <c r="ID26" s="925"/>
      <c r="IE26" s="925"/>
      <c r="IF26" s="925"/>
      <c r="IG26" s="925"/>
      <c r="IH26" s="925"/>
      <c r="II26" s="925"/>
      <c r="IJ26" s="925"/>
      <c r="IK26" s="925"/>
      <c r="IL26" s="925"/>
      <c r="IM26" s="925"/>
      <c r="IN26" s="925"/>
      <c r="IO26" s="925"/>
      <c r="IP26" s="925"/>
      <c r="IQ26" s="925"/>
      <c r="IR26" s="925"/>
      <c r="IS26" s="925"/>
      <c r="IT26" s="925"/>
      <c r="IU26" s="925"/>
      <c r="IV26" s="925"/>
    </row>
    <row r="27" s="923" customFormat="1" ht="15" customHeight="1" spans="1:256">
      <c r="A27" s="943" t="s">
        <v>348</v>
      </c>
      <c r="B27" s="938">
        <f>B21-B26</f>
        <v>3019</v>
      </c>
      <c r="C27" s="938">
        <f>C21-C26</f>
        <v>0</v>
      </c>
      <c r="D27" s="940"/>
      <c r="E27" s="940"/>
      <c r="F27" s="940"/>
      <c r="G27" s="940"/>
      <c r="H27" s="941"/>
      <c r="I27" s="925"/>
      <c r="J27" s="925"/>
      <c r="K27" s="925"/>
      <c r="L27" s="925"/>
      <c r="M27" s="925"/>
      <c r="N27" s="925"/>
      <c r="O27" s="925"/>
      <c r="P27" s="925"/>
      <c r="Q27" s="925"/>
      <c r="R27" s="925"/>
      <c r="S27" s="925"/>
      <c r="T27" s="925"/>
      <c r="U27" s="925"/>
      <c r="V27" s="925"/>
      <c r="W27" s="925"/>
      <c r="X27" s="925"/>
      <c r="Y27" s="925"/>
      <c r="Z27" s="925"/>
      <c r="AA27" s="925"/>
      <c r="AB27" s="925"/>
      <c r="AC27" s="925"/>
      <c r="AD27" s="925"/>
      <c r="AE27" s="925"/>
      <c r="AF27" s="925"/>
      <c r="AG27" s="925"/>
      <c r="AH27" s="925"/>
      <c r="AI27" s="925"/>
      <c r="AJ27" s="925"/>
      <c r="AK27" s="925"/>
      <c r="AL27" s="925"/>
      <c r="AM27" s="925"/>
      <c r="AN27" s="925"/>
      <c r="AO27" s="925"/>
      <c r="AP27" s="925"/>
      <c r="AQ27" s="925"/>
      <c r="AR27" s="925"/>
      <c r="AS27" s="925"/>
      <c r="AT27" s="925"/>
      <c r="AU27" s="925"/>
      <c r="AV27" s="925"/>
      <c r="AW27" s="925"/>
      <c r="AX27" s="925"/>
      <c r="AY27" s="925"/>
      <c r="AZ27" s="925"/>
      <c r="BA27" s="925"/>
      <c r="BB27" s="925"/>
      <c r="BC27" s="925"/>
      <c r="BD27" s="925"/>
      <c r="BE27" s="925"/>
      <c r="BF27" s="925"/>
      <c r="BG27" s="925"/>
      <c r="BH27" s="925"/>
      <c r="BI27" s="925"/>
      <c r="BJ27" s="925"/>
      <c r="BK27" s="925"/>
      <c r="BL27" s="925"/>
      <c r="BM27" s="925"/>
      <c r="BN27" s="925"/>
      <c r="BO27" s="925"/>
      <c r="BP27" s="925"/>
      <c r="BQ27" s="925"/>
      <c r="BR27" s="925"/>
      <c r="BS27" s="925"/>
      <c r="BT27" s="925"/>
      <c r="BU27" s="925"/>
      <c r="BV27" s="925"/>
      <c r="BW27" s="925"/>
      <c r="BX27" s="925"/>
      <c r="BY27" s="925"/>
      <c r="BZ27" s="925"/>
      <c r="CA27" s="925"/>
      <c r="CB27" s="925"/>
      <c r="CC27" s="925"/>
      <c r="CD27" s="925"/>
      <c r="CE27" s="925"/>
      <c r="CF27" s="925"/>
      <c r="CG27" s="925"/>
      <c r="CH27" s="925"/>
      <c r="CI27" s="925"/>
      <c r="CJ27" s="925"/>
      <c r="CK27" s="925"/>
      <c r="CL27" s="925"/>
      <c r="CM27" s="925"/>
      <c r="CN27" s="925"/>
      <c r="CO27" s="925"/>
      <c r="CP27" s="925"/>
      <c r="CQ27" s="925"/>
      <c r="CR27" s="925"/>
      <c r="CS27" s="925"/>
      <c r="CT27" s="925"/>
      <c r="CU27" s="925"/>
      <c r="CV27" s="925"/>
      <c r="CW27" s="925"/>
      <c r="CX27" s="925"/>
      <c r="CY27" s="925"/>
      <c r="CZ27" s="925"/>
      <c r="DA27" s="925"/>
      <c r="DB27" s="925"/>
      <c r="DC27" s="925"/>
      <c r="DD27" s="925"/>
      <c r="DE27" s="925"/>
      <c r="DF27" s="925"/>
      <c r="DG27" s="925"/>
      <c r="DH27" s="925"/>
      <c r="DI27" s="925"/>
      <c r="DJ27" s="925"/>
      <c r="DK27" s="925"/>
      <c r="DL27" s="925"/>
      <c r="DM27" s="925"/>
      <c r="DN27" s="925"/>
      <c r="DO27" s="925"/>
      <c r="DP27" s="925"/>
      <c r="DQ27" s="925"/>
      <c r="DR27" s="925"/>
      <c r="DS27" s="925"/>
      <c r="DT27" s="925"/>
      <c r="DU27" s="925"/>
      <c r="DV27" s="925"/>
      <c r="DW27" s="925"/>
      <c r="DX27" s="925"/>
      <c r="DY27" s="925"/>
      <c r="DZ27" s="925"/>
      <c r="EA27" s="925"/>
      <c r="EB27" s="925"/>
      <c r="EC27" s="925"/>
      <c r="ED27" s="925"/>
      <c r="EE27" s="925"/>
      <c r="EF27" s="925"/>
      <c r="EG27" s="925"/>
      <c r="EH27" s="925"/>
      <c r="EI27" s="925"/>
      <c r="EJ27" s="925"/>
      <c r="EK27" s="925"/>
      <c r="EL27" s="925"/>
      <c r="EM27" s="925"/>
      <c r="EN27" s="925"/>
      <c r="EO27" s="925"/>
      <c r="EP27" s="925"/>
      <c r="EQ27" s="925"/>
      <c r="ER27" s="925"/>
      <c r="ES27" s="925"/>
      <c r="ET27" s="925"/>
      <c r="EU27" s="925"/>
      <c r="EV27" s="925"/>
      <c r="EW27" s="925"/>
      <c r="EX27" s="925"/>
      <c r="EY27" s="925"/>
      <c r="EZ27" s="925"/>
      <c r="FA27" s="925"/>
      <c r="FB27" s="925"/>
      <c r="FC27" s="925"/>
      <c r="FD27" s="925"/>
      <c r="FE27" s="925"/>
      <c r="FF27" s="925"/>
      <c r="FG27" s="925"/>
      <c r="FH27" s="925"/>
      <c r="FI27" s="925"/>
      <c r="FJ27" s="925"/>
      <c r="FK27" s="925"/>
      <c r="FL27" s="925"/>
      <c r="FM27" s="925"/>
      <c r="FN27" s="925"/>
      <c r="FO27" s="925"/>
      <c r="FP27" s="925"/>
      <c r="FQ27" s="925"/>
      <c r="FR27" s="925"/>
      <c r="FS27" s="925"/>
      <c r="FT27" s="925"/>
      <c r="FU27" s="925"/>
      <c r="FV27" s="925"/>
      <c r="FW27" s="925"/>
      <c r="FX27" s="925"/>
      <c r="FY27" s="925"/>
      <c r="FZ27" s="925"/>
      <c r="GA27" s="925"/>
      <c r="GB27" s="925"/>
      <c r="GC27" s="925"/>
      <c r="GD27" s="925"/>
      <c r="GE27" s="925"/>
      <c r="GF27" s="925"/>
      <c r="GG27" s="925"/>
      <c r="GH27" s="925"/>
      <c r="GI27" s="925"/>
      <c r="GJ27" s="925"/>
      <c r="GK27" s="925"/>
      <c r="GL27" s="925"/>
      <c r="GM27" s="925"/>
      <c r="GN27" s="925"/>
      <c r="GO27" s="925"/>
      <c r="GP27" s="925"/>
      <c r="GQ27" s="925"/>
      <c r="GR27" s="925"/>
      <c r="GS27" s="925"/>
      <c r="GT27" s="925"/>
      <c r="GU27" s="925"/>
      <c r="GV27" s="925"/>
      <c r="GW27" s="925"/>
      <c r="GX27" s="925"/>
      <c r="GY27" s="925"/>
      <c r="GZ27" s="925"/>
      <c r="HA27" s="925"/>
      <c r="HB27" s="925"/>
      <c r="HC27" s="925"/>
      <c r="HD27" s="925"/>
      <c r="HE27" s="925"/>
      <c r="HF27" s="925"/>
      <c r="HG27" s="925"/>
      <c r="HH27" s="925"/>
      <c r="HI27" s="925"/>
      <c r="HJ27" s="925"/>
      <c r="HK27" s="925"/>
      <c r="HL27" s="925"/>
      <c r="HM27" s="925"/>
      <c r="HN27" s="925"/>
      <c r="HO27" s="925"/>
      <c r="HP27" s="925"/>
      <c r="HQ27" s="925"/>
      <c r="HR27" s="925"/>
      <c r="HS27" s="925"/>
      <c r="HT27" s="925"/>
      <c r="HU27" s="925"/>
      <c r="HV27" s="925"/>
      <c r="HW27" s="925"/>
      <c r="HX27" s="925"/>
      <c r="HY27" s="925"/>
      <c r="HZ27" s="925"/>
      <c r="IA27" s="925"/>
      <c r="IB27" s="925"/>
      <c r="IC27" s="925"/>
      <c r="ID27" s="925"/>
      <c r="IE27" s="925"/>
      <c r="IF27" s="925"/>
      <c r="IG27" s="925"/>
      <c r="IH27" s="925"/>
      <c r="II27" s="925"/>
      <c r="IJ27" s="925"/>
      <c r="IK27" s="925"/>
      <c r="IL27" s="925"/>
      <c r="IM27" s="925"/>
      <c r="IN27" s="925"/>
      <c r="IO27" s="925"/>
      <c r="IP27" s="925"/>
      <c r="IQ27" s="925"/>
      <c r="IR27" s="925"/>
      <c r="IS27" s="925"/>
      <c r="IT27" s="925"/>
      <c r="IU27" s="925"/>
      <c r="IV27" s="925"/>
    </row>
    <row r="28" s="923" customFormat="1" ht="15" customHeight="1" spans="1:256">
      <c r="A28" s="935" t="s">
        <v>349</v>
      </c>
      <c r="B28" s="936"/>
      <c r="C28" s="936"/>
      <c r="D28" s="940"/>
      <c r="E28" s="940"/>
      <c r="F28" s="940"/>
      <c r="G28" s="940"/>
      <c r="H28" s="941"/>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G28" s="925"/>
      <c r="AH28" s="925"/>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O28" s="925"/>
      <c r="BP28" s="925"/>
      <c r="BQ28" s="925"/>
      <c r="BR28" s="925"/>
      <c r="BS28" s="925"/>
      <c r="BT28" s="925"/>
      <c r="BU28" s="925"/>
      <c r="BV28" s="925"/>
      <c r="BW28" s="925"/>
      <c r="BX28" s="925"/>
      <c r="BY28" s="925"/>
      <c r="BZ28" s="925"/>
      <c r="CA28" s="925"/>
      <c r="CB28" s="925"/>
      <c r="CC28" s="925"/>
      <c r="CD28" s="925"/>
      <c r="CE28" s="925"/>
      <c r="CF28" s="925"/>
      <c r="CG28" s="925"/>
      <c r="CH28" s="925"/>
      <c r="CI28" s="925"/>
      <c r="CJ28" s="925"/>
      <c r="CK28" s="925"/>
      <c r="CL28" s="925"/>
      <c r="CM28" s="925"/>
      <c r="CN28" s="925"/>
      <c r="CO28" s="925"/>
      <c r="CP28" s="925"/>
      <c r="CQ28" s="925"/>
      <c r="CR28" s="925"/>
      <c r="CS28" s="925"/>
      <c r="CT28" s="925"/>
      <c r="CU28" s="925"/>
      <c r="CV28" s="925"/>
      <c r="CW28" s="925"/>
      <c r="CX28" s="925"/>
      <c r="CY28" s="925"/>
      <c r="CZ28" s="925"/>
      <c r="DA28" s="925"/>
      <c r="DB28" s="925"/>
      <c r="DC28" s="925"/>
      <c r="DD28" s="925"/>
      <c r="DE28" s="925"/>
      <c r="DF28" s="925"/>
      <c r="DG28" s="925"/>
      <c r="DH28" s="925"/>
      <c r="DI28" s="925"/>
      <c r="DJ28" s="925"/>
      <c r="DK28" s="925"/>
      <c r="DL28" s="925"/>
      <c r="DM28" s="925"/>
      <c r="DN28" s="925"/>
      <c r="DO28" s="925"/>
      <c r="DP28" s="925"/>
      <c r="DQ28" s="925"/>
      <c r="DR28" s="925"/>
      <c r="DS28" s="925"/>
      <c r="DT28" s="925"/>
      <c r="DU28" s="925"/>
      <c r="DV28" s="925"/>
      <c r="DW28" s="925"/>
      <c r="DX28" s="925"/>
      <c r="DY28" s="925"/>
      <c r="DZ28" s="925"/>
      <c r="EA28" s="925"/>
      <c r="EB28" s="925"/>
      <c r="EC28" s="925"/>
      <c r="ED28" s="925"/>
      <c r="EE28" s="925"/>
      <c r="EF28" s="925"/>
      <c r="EG28" s="925"/>
      <c r="EH28" s="925"/>
      <c r="EI28" s="925"/>
      <c r="EJ28" s="925"/>
      <c r="EK28" s="925"/>
      <c r="EL28" s="925"/>
      <c r="EM28" s="925"/>
      <c r="EN28" s="925"/>
      <c r="EO28" s="925"/>
      <c r="EP28" s="925"/>
      <c r="EQ28" s="925"/>
      <c r="ER28" s="925"/>
      <c r="ES28" s="925"/>
      <c r="ET28" s="925"/>
      <c r="EU28" s="925"/>
      <c r="EV28" s="925"/>
      <c r="EW28" s="925"/>
      <c r="EX28" s="925"/>
      <c r="EY28" s="925"/>
      <c r="EZ28" s="925"/>
      <c r="FA28" s="925"/>
      <c r="FB28" s="925"/>
      <c r="FC28" s="925"/>
      <c r="FD28" s="925"/>
      <c r="FE28" s="925"/>
      <c r="FF28" s="925"/>
      <c r="FG28" s="925"/>
      <c r="FH28" s="925"/>
      <c r="FI28" s="925"/>
      <c r="FJ28" s="925"/>
      <c r="FK28" s="925"/>
      <c r="FL28" s="925"/>
      <c r="FM28" s="925"/>
      <c r="FN28" s="925"/>
      <c r="FO28" s="925"/>
      <c r="FP28" s="925"/>
      <c r="FQ28" s="925"/>
      <c r="FR28" s="925"/>
      <c r="FS28" s="925"/>
      <c r="FT28" s="925"/>
      <c r="FU28" s="925"/>
      <c r="FV28" s="925"/>
      <c r="FW28" s="925"/>
      <c r="FX28" s="925"/>
      <c r="FY28" s="925"/>
      <c r="FZ28" s="925"/>
      <c r="GA28" s="925"/>
      <c r="GB28" s="925"/>
      <c r="GC28" s="925"/>
      <c r="GD28" s="925"/>
      <c r="GE28" s="925"/>
      <c r="GF28" s="925"/>
      <c r="GG28" s="925"/>
      <c r="GH28" s="925"/>
      <c r="GI28" s="925"/>
      <c r="GJ28" s="925"/>
      <c r="GK28" s="925"/>
      <c r="GL28" s="925"/>
      <c r="GM28" s="925"/>
      <c r="GN28" s="925"/>
      <c r="GO28" s="925"/>
      <c r="GP28" s="925"/>
      <c r="GQ28" s="925"/>
      <c r="GR28" s="925"/>
      <c r="GS28" s="925"/>
      <c r="GT28" s="925"/>
      <c r="GU28" s="925"/>
      <c r="GV28" s="925"/>
      <c r="GW28" s="925"/>
      <c r="GX28" s="925"/>
      <c r="GY28" s="925"/>
      <c r="GZ28" s="925"/>
      <c r="HA28" s="925"/>
      <c r="HB28" s="925"/>
      <c r="HC28" s="925"/>
      <c r="HD28" s="925"/>
      <c r="HE28" s="925"/>
      <c r="HF28" s="925"/>
      <c r="HG28" s="925"/>
      <c r="HH28" s="925"/>
      <c r="HI28" s="925"/>
      <c r="HJ28" s="925"/>
      <c r="HK28" s="925"/>
      <c r="HL28" s="925"/>
      <c r="HM28" s="925"/>
      <c r="HN28" s="925"/>
      <c r="HO28" s="925"/>
      <c r="HP28" s="925"/>
      <c r="HQ28" s="925"/>
      <c r="HR28" s="925"/>
      <c r="HS28" s="925"/>
      <c r="HT28" s="925"/>
      <c r="HU28" s="925"/>
      <c r="HV28" s="925"/>
      <c r="HW28" s="925"/>
      <c r="HX28" s="925"/>
      <c r="HY28" s="925"/>
      <c r="HZ28" s="925"/>
      <c r="IA28" s="925"/>
      <c r="IB28" s="925"/>
      <c r="IC28" s="925"/>
      <c r="ID28" s="925"/>
      <c r="IE28" s="925"/>
      <c r="IF28" s="925"/>
      <c r="IG28" s="925"/>
      <c r="IH28" s="925"/>
      <c r="II28" s="925"/>
      <c r="IJ28" s="925"/>
      <c r="IK28" s="925"/>
      <c r="IL28" s="925"/>
      <c r="IM28" s="925"/>
      <c r="IN28" s="925"/>
      <c r="IO28" s="925"/>
      <c r="IP28" s="925"/>
      <c r="IQ28" s="925"/>
      <c r="IR28" s="925"/>
      <c r="IS28" s="925"/>
      <c r="IT28" s="925"/>
      <c r="IU28" s="925"/>
      <c r="IV28" s="925"/>
    </row>
    <row r="29" s="923" customFormat="1" ht="15" customHeight="1" spans="1:256">
      <c r="A29" s="937" t="s">
        <v>350</v>
      </c>
      <c r="B29" s="938">
        <f>资产负债表!E30-资产负债表!F30</f>
        <v>0</v>
      </c>
      <c r="C29" s="939"/>
      <c r="D29" s="940"/>
      <c r="E29" s="940"/>
      <c r="F29" s="940"/>
      <c r="G29" s="940"/>
      <c r="H29" s="941"/>
      <c r="I29" s="925"/>
      <c r="J29" s="925"/>
      <c r="K29" s="925"/>
      <c r="L29" s="925"/>
      <c r="M29" s="925"/>
      <c r="N29" s="925"/>
      <c r="O29" s="925"/>
      <c r="P29" s="925"/>
      <c r="Q29" s="925"/>
      <c r="R29" s="925"/>
      <c r="S29" s="925"/>
      <c r="T29" s="925"/>
      <c r="U29" s="925"/>
      <c r="V29" s="925"/>
      <c r="W29" s="925"/>
      <c r="X29" s="925"/>
      <c r="Y29" s="925"/>
      <c r="Z29" s="925"/>
      <c r="AA29" s="925"/>
      <c r="AB29" s="925"/>
      <c r="AC29" s="925"/>
      <c r="AD29" s="925"/>
      <c r="AE29" s="925"/>
      <c r="AF29" s="925"/>
      <c r="AG29" s="925"/>
      <c r="AH29" s="925"/>
      <c r="AI29" s="925"/>
      <c r="AJ29" s="925"/>
      <c r="AK29" s="925"/>
      <c r="AL29" s="925"/>
      <c r="AM29" s="925"/>
      <c r="AN29" s="925"/>
      <c r="AO29" s="925"/>
      <c r="AP29" s="925"/>
      <c r="AQ29" s="925"/>
      <c r="AR29" s="925"/>
      <c r="AS29" s="925"/>
      <c r="AT29" s="925"/>
      <c r="AU29" s="925"/>
      <c r="AV29" s="925"/>
      <c r="AW29" s="925"/>
      <c r="AX29" s="925"/>
      <c r="AY29" s="925"/>
      <c r="AZ29" s="925"/>
      <c r="BA29" s="925"/>
      <c r="BB29" s="925"/>
      <c r="BC29" s="925"/>
      <c r="BD29" s="925"/>
      <c r="BE29" s="925"/>
      <c r="BF29" s="925"/>
      <c r="BG29" s="925"/>
      <c r="BH29" s="925"/>
      <c r="BI29" s="925"/>
      <c r="BJ29" s="925"/>
      <c r="BK29" s="925"/>
      <c r="BL29" s="925"/>
      <c r="BM29" s="925"/>
      <c r="BN29" s="925"/>
      <c r="BO29" s="925"/>
      <c r="BP29" s="925"/>
      <c r="BQ29" s="925"/>
      <c r="BR29" s="925"/>
      <c r="BS29" s="925"/>
      <c r="BT29" s="925"/>
      <c r="BU29" s="925"/>
      <c r="BV29" s="925"/>
      <c r="BW29" s="925"/>
      <c r="BX29" s="925"/>
      <c r="BY29" s="925"/>
      <c r="BZ29" s="925"/>
      <c r="CA29" s="925"/>
      <c r="CB29" s="925"/>
      <c r="CC29" s="925"/>
      <c r="CD29" s="925"/>
      <c r="CE29" s="925"/>
      <c r="CF29" s="925"/>
      <c r="CG29" s="925"/>
      <c r="CH29" s="925"/>
      <c r="CI29" s="925"/>
      <c r="CJ29" s="925"/>
      <c r="CK29" s="925"/>
      <c r="CL29" s="925"/>
      <c r="CM29" s="925"/>
      <c r="CN29" s="925"/>
      <c r="CO29" s="925"/>
      <c r="CP29" s="925"/>
      <c r="CQ29" s="925"/>
      <c r="CR29" s="925"/>
      <c r="CS29" s="925"/>
      <c r="CT29" s="925"/>
      <c r="CU29" s="925"/>
      <c r="CV29" s="925"/>
      <c r="CW29" s="925"/>
      <c r="CX29" s="925"/>
      <c r="CY29" s="925"/>
      <c r="CZ29" s="925"/>
      <c r="DA29" s="925"/>
      <c r="DB29" s="925"/>
      <c r="DC29" s="925"/>
      <c r="DD29" s="925"/>
      <c r="DE29" s="925"/>
      <c r="DF29" s="925"/>
      <c r="DG29" s="925"/>
      <c r="DH29" s="925"/>
      <c r="DI29" s="925"/>
      <c r="DJ29" s="925"/>
      <c r="DK29" s="925"/>
      <c r="DL29" s="925"/>
      <c r="DM29" s="925"/>
      <c r="DN29" s="925"/>
      <c r="DO29" s="925"/>
      <c r="DP29" s="925"/>
      <c r="DQ29" s="925"/>
      <c r="DR29" s="925"/>
      <c r="DS29" s="925"/>
      <c r="DT29" s="925"/>
      <c r="DU29" s="925"/>
      <c r="DV29" s="925"/>
      <c r="DW29" s="925"/>
      <c r="DX29" s="925"/>
      <c r="DY29" s="925"/>
      <c r="DZ29" s="925"/>
      <c r="EA29" s="925"/>
      <c r="EB29" s="925"/>
      <c r="EC29" s="925"/>
      <c r="ED29" s="925"/>
      <c r="EE29" s="925"/>
      <c r="EF29" s="925"/>
      <c r="EG29" s="925"/>
      <c r="EH29" s="925"/>
      <c r="EI29" s="925"/>
      <c r="EJ29" s="925"/>
      <c r="EK29" s="925"/>
      <c r="EL29" s="925"/>
      <c r="EM29" s="925"/>
      <c r="EN29" s="925"/>
      <c r="EO29" s="925"/>
      <c r="EP29" s="925"/>
      <c r="EQ29" s="925"/>
      <c r="ER29" s="925"/>
      <c r="ES29" s="925"/>
      <c r="ET29" s="925"/>
      <c r="EU29" s="925"/>
      <c r="EV29" s="925"/>
      <c r="EW29" s="925"/>
      <c r="EX29" s="925"/>
      <c r="EY29" s="925"/>
      <c r="EZ29" s="925"/>
      <c r="FA29" s="925"/>
      <c r="FB29" s="925"/>
      <c r="FC29" s="925"/>
      <c r="FD29" s="925"/>
      <c r="FE29" s="925"/>
      <c r="FF29" s="925"/>
      <c r="FG29" s="925"/>
      <c r="FH29" s="925"/>
      <c r="FI29" s="925"/>
      <c r="FJ29" s="925"/>
      <c r="FK29" s="925"/>
      <c r="FL29" s="925"/>
      <c r="FM29" s="925"/>
      <c r="FN29" s="925"/>
      <c r="FO29" s="925"/>
      <c r="FP29" s="925"/>
      <c r="FQ29" s="925"/>
      <c r="FR29" s="925"/>
      <c r="FS29" s="925"/>
      <c r="FT29" s="925"/>
      <c r="FU29" s="925"/>
      <c r="FV29" s="925"/>
      <c r="FW29" s="925"/>
      <c r="FX29" s="925"/>
      <c r="FY29" s="925"/>
      <c r="FZ29" s="925"/>
      <c r="GA29" s="925"/>
      <c r="GB29" s="925"/>
      <c r="GC29" s="925"/>
      <c r="GD29" s="925"/>
      <c r="GE29" s="925"/>
      <c r="GF29" s="925"/>
      <c r="GG29" s="925"/>
      <c r="GH29" s="925"/>
      <c r="GI29" s="925"/>
      <c r="GJ29" s="925"/>
      <c r="GK29" s="925"/>
      <c r="GL29" s="925"/>
      <c r="GM29" s="925"/>
      <c r="GN29" s="925"/>
      <c r="GO29" s="925"/>
      <c r="GP29" s="925"/>
      <c r="GQ29" s="925"/>
      <c r="GR29" s="925"/>
      <c r="GS29" s="925"/>
      <c r="GT29" s="925"/>
      <c r="GU29" s="925"/>
      <c r="GV29" s="925"/>
      <c r="GW29" s="925"/>
      <c r="GX29" s="925"/>
      <c r="GY29" s="925"/>
      <c r="GZ29" s="925"/>
      <c r="HA29" s="925"/>
      <c r="HB29" s="925"/>
      <c r="HC29" s="925"/>
      <c r="HD29" s="925"/>
      <c r="HE29" s="925"/>
      <c r="HF29" s="925"/>
      <c r="HG29" s="925"/>
      <c r="HH29" s="925"/>
      <c r="HI29" s="925"/>
      <c r="HJ29" s="925"/>
      <c r="HK29" s="925"/>
      <c r="HL29" s="925"/>
      <c r="HM29" s="925"/>
      <c r="HN29" s="925"/>
      <c r="HO29" s="925"/>
      <c r="HP29" s="925"/>
      <c r="HQ29" s="925"/>
      <c r="HR29" s="925"/>
      <c r="HS29" s="925"/>
      <c r="HT29" s="925"/>
      <c r="HU29" s="925"/>
      <c r="HV29" s="925"/>
      <c r="HW29" s="925"/>
      <c r="HX29" s="925"/>
      <c r="HY29" s="925"/>
      <c r="HZ29" s="925"/>
      <c r="IA29" s="925"/>
      <c r="IB29" s="925"/>
      <c r="IC29" s="925"/>
      <c r="ID29" s="925"/>
      <c r="IE29" s="925"/>
      <c r="IF29" s="925"/>
      <c r="IG29" s="925"/>
      <c r="IH29" s="925"/>
      <c r="II29" s="925"/>
      <c r="IJ29" s="925"/>
      <c r="IK29" s="925"/>
      <c r="IL29" s="925"/>
      <c r="IM29" s="925"/>
      <c r="IN29" s="925"/>
      <c r="IO29" s="925"/>
      <c r="IP29" s="925"/>
      <c r="IQ29" s="925"/>
      <c r="IR29" s="925"/>
      <c r="IS29" s="925"/>
      <c r="IT29" s="925"/>
      <c r="IU29" s="925"/>
      <c r="IV29" s="925"/>
    </row>
    <row r="30" s="923" customFormat="1" ht="15" customHeight="1" spans="1:256">
      <c r="A30" s="937" t="s">
        <v>351</v>
      </c>
      <c r="B30" s="938" t="str">
        <f>IF((资产负债表!E6-资产负债表!F6+资产负债表!E20-资产负债表!F20+资产负债表!E21-资产负债表!F21+资产负债表!E22-资产负债表!F22+资产负债表!E23-资产负债表!F23+资产负债表!E26-资产负债表!F26)&lt;0,"",资产负债表!E6-资产负债表!F6+资产负债表!E20-资产负债表!F20+资产负债表!E21-资产负债表!F21+资产负债表!E22-资产负债表!F22+资产负债表!E23-资产负债表!F23+资产负债表!E26-资产负债表!F26)</f>
        <v/>
      </c>
      <c r="C30" s="939"/>
      <c r="D30" s="934" t="s">
        <v>352</v>
      </c>
      <c r="E30" s="934"/>
      <c r="F30" s="941" t="s">
        <v>353</v>
      </c>
      <c r="G30" s="941"/>
      <c r="H30" s="941"/>
      <c r="I30" s="925"/>
      <c r="J30" s="925"/>
      <c r="K30" s="925"/>
      <c r="L30" s="925"/>
      <c r="M30" s="925"/>
      <c r="N30" s="925"/>
      <c r="O30" s="925"/>
      <c r="P30" s="925"/>
      <c r="Q30" s="925"/>
      <c r="R30" s="925"/>
      <c r="S30" s="925"/>
      <c r="T30" s="925"/>
      <c r="U30" s="925"/>
      <c r="V30" s="925"/>
      <c r="W30" s="925"/>
      <c r="X30" s="925"/>
      <c r="Y30" s="925"/>
      <c r="Z30" s="925"/>
      <c r="AA30" s="925"/>
      <c r="AB30" s="925"/>
      <c r="AC30" s="925"/>
      <c r="AD30" s="925"/>
      <c r="AE30" s="925"/>
      <c r="AF30" s="925"/>
      <c r="AG30" s="925"/>
      <c r="AH30" s="925"/>
      <c r="AI30" s="925"/>
      <c r="AJ30" s="925"/>
      <c r="AK30" s="925"/>
      <c r="AL30" s="925"/>
      <c r="AM30" s="925"/>
      <c r="AN30" s="925"/>
      <c r="AO30" s="925"/>
      <c r="AP30" s="925"/>
      <c r="AQ30" s="925"/>
      <c r="AR30" s="925"/>
      <c r="AS30" s="925"/>
      <c r="AT30" s="925"/>
      <c r="AU30" s="925"/>
      <c r="AV30" s="925"/>
      <c r="AW30" s="925"/>
      <c r="AX30" s="925"/>
      <c r="AY30" s="925"/>
      <c r="AZ30" s="925"/>
      <c r="BA30" s="925"/>
      <c r="BB30" s="925"/>
      <c r="BC30" s="925"/>
      <c r="BD30" s="925"/>
      <c r="BE30" s="925"/>
      <c r="BF30" s="925"/>
      <c r="BG30" s="925"/>
      <c r="BH30" s="925"/>
      <c r="BI30" s="925"/>
      <c r="BJ30" s="925"/>
      <c r="BK30" s="925"/>
      <c r="BL30" s="925"/>
      <c r="BM30" s="925"/>
      <c r="BN30" s="925"/>
      <c r="BO30" s="925"/>
      <c r="BP30" s="925"/>
      <c r="BQ30" s="925"/>
      <c r="BR30" s="925"/>
      <c r="BS30" s="925"/>
      <c r="BT30" s="925"/>
      <c r="BU30" s="925"/>
      <c r="BV30" s="925"/>
      <c r="BW30" s="925"/>
      <c r="BX30" s="925"/>
      <c r="BY30" s="925"/>
      <c r="BZ30" s="925"/>
      <c r="CA30" s="925"/>
      <c r="CB30" s="925"/>
      <c r="CC30" s="925"/>
      <c r="CD30" s="925"/>
      <c r="CE30" s="925"/>
      <c r="CF30" s="925"/>
      <c r="CG30" s="925"/>
      <c r="CH30" s="925"/>
      <c r="CI30" s="925"/>
      <c r="CJ30" s="925"/>
      <c r="CK30" s="925"/>
      <c r="CL30" s="925"/>
      <c r="CM30" s="925"/>
      <c r="CN30" s="925"/>
      <c r="CO30" s="925"/>
      <c r="CP30" s="925"/>
      <c r="CQ30" s="925"/>
      <c r="CR30" s="925"/>
      <c r="CS30" s="925"/>
      <c r="CT30" s="925"/>
      <c r="CU30" s="925"/>
      <c r="CV30" s="925"/>
      <c r="CW30" s="925"/>
      <c r="CX30" s="925"/>
      <c r="CY30" s="925"/>
      <c r="CZ30" s="925"/>
      <c r="DA30" s="925"/>
      <c r="DB30" s="925"/>
      <c r="DC30" s="925"/>
      <c r="DD30" s="925"/>
      <c r="DE30" s="925"/>
      <c r="DF30" s="925"/>
      <c r="DG30" s="925"/>
      <c r="DH30" s="925"/>
      <c r="DI30" s="925"/>
      <c r="DJ30" s="925"/>
      <c r="DK30" s="925"/>
      <c r="DL30" s="925"/>
      <c r="DM30" s="925"/>
      <c r="DN30" s="925"/>
      <c r="DO30" s="925"/>
      <c r="DP30" s="925"/>
      <c r="DQ30" s="925"/>
      <c r="DR30" s="925"/>
      <c r="DS30" s="925"/>
      <c r="DT30" s="925"/>
      <c r="DU30" s="925"/>
      <c r="DV30" s="925"/>
      <c r="DW30" s="925"/>
      <c r="DX30" s="925"/>
      <c r="DY30" s="925"/>
      <c r="DZ30" s="925"/>
      <c r="EA30" s="925"/>
      <c r="EB30" s="925"/>
      <c r="EC30" s="925"/>
      <c r="ED30" s="925"/>
      <c r="EE30" s="925"/>
      <c r="EF30" s="925"/>
      <c r="EG30" s="925"/>
      <c r="EH30" s="925"/>
      <c r="EI30" s="925"/>
      <c r="EJ30" s="925"/>
      <c r="EK30" s="925"/>
      <c r="EL30" s="925"/>
      <c r="EM30" s="925"/>
      <c r="EN30" s="925"/>
      <c r="EO30" s="925"/>
      <c r="EP30" s="925"/>
      <c r="EQ30" s="925"/>
      <c r="ER30" s="925"/>
      <c r="ES30" s="925"/>
      <c r="ET30" s="925"/>
      <c r="EU30" s="925"/>
      <c r="EV30" s="925"/>
      <c r="EW30" s="925"/>
      <c r="EX30" s="925"/>
      <c r="EY30" s="925"/>
      <c r="EZ30" s="925"/>
      <c r="FA30" s="925"/>
      <c r="FB30" s="925"/>
      <c r="FC30" s="925"/>
      <c r="FD30" s="925"/>
      <c r="FE30" s="925"/>
      <c r="FF30" s="925"/>
      <c r="FG30" s="925"/>
      <c r="FH30" s="925"/>
      <c r="FI30" s="925"/>
      <c r="FJ30" s="925"/>
      <c r="FK30" s="925"/>
      <c r="FL30" s="925"/>
      <c r="FM30" s="925"/>
      <c r="FN30" s="925"/>
      <c r="FO30" s="925"/>
      <c r="FP30" s="925"/>
      <c r="FQ30" s="925"/>
      <c r="FR30" s="925"/>
      <c r="FS30" s="925"/>
      <c r="FT30" s="925"/>
      <c r="FU30" s="925"/>
      <c r="FV30" s="925"/>
      <c r="FW30" s="925"/>
      <c r="FX30" s="925"/>
      <c r="FY30" s="925"/>
      <c r="FZ30" s="925"/>
      <c r="GA30" s="925"/>
      <c r="GB30" s="925"/>
      <c r="GC30" s="925"/>
      <c r="GD30" s="925"/>
      <c r="GE30" s="925"/>
      <c r="GF30" s="925"/>
      <c r="GG30" s="925"/>
      <c r="GH30" s="925"/>
      <c r="GI30" s="925"/>
      <c r="GJ30" s="925"/>
      <c r="GK30" s="925"/>
      <c r="GL30" s="925"/>
      <c r="GM30" s="925"/>
      <c r="GN30" s="925"/>
      <c r="GO30" s="925"/>
      <c r="GP30" s="925"/>
      <c r="GQ30" s="925"/>
      <c r="GR30" s="925"/>
      <c r="GS30" s="925"/>
      <c r="GT30" s="925"/>
      <c r="GU30" s="925"/>
      <c r="GV30" s="925"/>
      <c r="GW30" s="925"/>
      <c r="GX30" s="925"/>
      <c r="GY30" s="925"/>
      <c r="GZ30" s="925"/>
      <c r="HA30" s="925"/>
      <c r="HB30" s="925"/>
      <c r="HC30" s="925"/>
      <c r="HD30" s="925"/>
      <c r="HE30" s="925"/>
      <c r="HF30" s="925"/>
      <c r="HG30" s="925"/>
      <c r="HH30" s="925"/>
      <c r="HI30" s="925"/>
      <c r="HJ30" s="925"/>
      <c r="HK30" s="925"/>
      <c r="HL30" s="925"/>
      <c r="HM30" s="925"/>
      <c r="HN30" s="925"/>
      <c r="HO30" s="925"/>
      <c r="HP30" s="925"/>
      <c r="HQ30" s="925"/>
      <c r="HR30" s="925"/>
      <c r="HS30" s="925"/>
      <c r="HT30" s="925"/>
      <c r="HU30" s="925"/>
      <c r="HV30" s="925"/>
      <c r="HW30" s="925"/>
      <c r="HX30" s="925"/>
      <c r="HY30" s="925"/>
      <c r="HZ30" s="925"/>
      <c r="IA30" s="925"/>
      <c r="IB30" s="925"/>
      <c r="IC30" s="925"/>
      <c r="ID30" s="925"/>
      <c r="IE30" s="925"/>
      <c r="IF30" s="925"/>
      <c r="IG30" s="925"/>
      <c r="IH30" s="925"/>
      <c r="II30" s="925"/>
      <c r="IJ30" s="925"/>
      <c r="IK30" s="925"/>
      <c r="IL30" s="925"/>
      <c r="IM30" s="925"/>
      <c r="IN30" s="925"/>
      <c r="IO30" s="925"/>
      <c r="IP30" s="925"/>
      <c r="IQ30" s="925"/>
      <c r="IR30" s="925"/>
      <c r="IS30" s="925"/>
      <c r="IT30" s="925"/>
      <c r="IU30" s="925"/>
      <c r="IV30" s="925"/>
    </row>
    <row r="31" s="923" customFormat="1" ht="15" customHeight="1" spans="1:256">
      <c r="A31" s="937" t="s">
        <v>354</v>
      </c>
      <c r="B31" s="938">
        <f>表外数据录入!C66</f>
        <v>0</v>
      </c>
      <c r="C31" s="939"/>
      <c r="D31" s="934"/>
      <c r="E31" s="934"/>
      <c r="F31" s="941"/>
      <c r="G31" s="941"/>
      <c r="H31" s="941"/>
      <c r="I31" s="925"/>
      <c r="J31" s="925"/>
      <c r="K31" s="925"/>
      <c r="L31" s="925"/>
      <c r="M31" s="925"/>
      <c r="N31" s="925"/>
      <c r="O31" s="925"/>
      <c r="P31" s="925"/>
      <c r="Q31" s="925"/>
      <c r="R31" s="925"/>
      <c r="S31" s="925"/>
      <c r="T31" s="925"/>
      <c r="U31" s="925"/>
      <c r="V31" s="925"/>
      <c r="W31" s="925"/>
      <c r="X31" s="925"/>
      <c r="Y31" s="925"/>
      <c r="Z31" s="925"/>
      <c r="AA31" s="925"/>
      <c r="AB31" s="925"/>
      <c r="AC31" s="925"/>
      <c r="AD31" s="925"/>
      <c r="AE31" s="925"/>
      <c r="AF31" s="925"/>
      <c r="AG31" s="925"/>
      <c r="AH31" s="925"/>
      <c r="AI31" s="925"/>
      <c r="AJ31" s="925"/>
      <c r="AK31" s="925"/>
      <c r="AL31" s="925"/>
      <c r="AM31" s="925"/>
      <c r="AN31" s="925"/>
      <c r="AO31" s="925"/>
      <c r="AP31" s="925"/>
      <c r="AQ31" s="925"/>
      <c r="AR31" s="925"/>
      <c r="AS31" s="925"/>
      <c r="AT31" s="925"/>
      <c r="AU31" s="925"/>
      <c r="AV31" s="925"/>
      <c r="AW31" s="925"/>
      <c r="AX31" s="925"/>
      <c r="AY31" s="925"/>
      <c r="AZ31" s="925"/>
      <c r="BA31" s="925"/>
      <c r="BB31" s="925"/>
      <c r="BC31" s="925"/>
      <c r="BD31" s="925"/>
      <c r="BE31" s="925"/>
      <c r="BF31" s="925"/>
      <c r="BG31" s="925"/>
      <c r="BH31" s="925"/>
      <c r="BI31" s="925"/>
      <c r="BJ31" s="925"/>
      <c r="BK31" s="925"/>
      <c r="BL31" s="925"/>
      <c r="BM31" s="925"/>
      <c r="BN31" s="925"/>
      <c r="BO31" s="925"/>
      <c r="BP31" s="925"/>
      <c r="BQ31" s="925"/>
      <c r="BR31" s="925"/>
      <c r="BS31" s="925"/>
      <c r="BT31" s="925"/>
      <c r="BU31" s="925"/>
      <c r="BV31" s="925"/>
      <c r="BW31" s="925"/>
      <c r="BX31" s="925"/>
      <c r="BY31" s="925"/>
      <c r="BZ31" s="925"/>
      <c r="CA31" s="925"/>
      <c r="CB31" s="925"/>
      <c r="CC31" s="925"/>
      <c r="CD31" s="925"/>
      <c r="CE31" s="925"/>
      <c r="CF31" s="925"/>
      <c r="CG31" s="925"/>
      <c r="CH31" s="925"/>
      <c r="CI31" s="925"/>
      <c r="CJ31" s="925"/>
      <c r="CK31" s="925"/>
      <c r="CL31" s="925"/>
      <c r="CM31" s="925"/>
      <c r="CN31" s="925"/>
      <c r="CO31" s="925"/>
      <c r="CP31" s="925"/>
      <c r="CQ31" s="925"/>
      <c r="CR31" s="925"/>
      <c r="CS31" s="925"/>
      <c r="CT31" s="925"/>
      <c r="CU31" s="925"/>
      <c r="CV31" s="925"/>
      <c r="CW31" s="925"/>
      <c r="CX31" s="925"/>
      <c r="CY31" s="925"/>
      <c r="CZ31" s="925"/>
      <c r="DA31" s="925"/>
      <c r="DB31" s="925"/>
      <c r="DC31" s="925"/>
      <c r="DD31" s="925"/>
      <c r="DE31" s="925"/>
      <c r="DF31" s="925"/>
      <c r="DG31" s="925"/>
      <c r="DH31" s="925"/>
      <c r="DI31" s="925"/>
      <c r="DJ31" s="925"/>
      <c r="DK31" s="925"/>
      <c r="DL31" s="925"/>
      <c r="DM31" s="925"/>
      <c r="DN31" s="925"/>
      <c r="DO31" s="925"/>
      <c r="DP31" s="925"/>
      <c r="DQ31" s="925"/>
      <c r="DR31" s="925"/>
      <c r="DS31" s="925"/>
      <c r="DT31" s="925"/>
      <c r="DU31" s="925"/>
      <c r="DV31" s="925"/>
      <c r="DW31" s="925"/>
      <c r="DX31" s="925"/>
      <c r="DY31" s="925"/>
      <c r="DZ31" s="925"/>
      <c r="EA31" s="925"/>
      <c r="EB31" s="925"/>
      <c r="EC31" s="925"/>
      <c r="ED31" s="925"/>
      <c r="EE31" s="925"/>
      <c r="EF31" s="925"/>
      <c r="EG31" s="925"/>
      <c r="EH31" s="925"/>
      <c r="EI31" s="925"/>
      <c r="EJ31" s="925"/>
      <c r="EK31" s="925"/>
      <c r="EL31" s="925"/>
      <c r="EM31" s="925"/>
      <c r="EN31" s="925"/>
      <c r="EO31" s="925"/>
      <c r="EP31" s="925"/>
      <c r="EQ31" s="925"/>
      <c r="ER31" s="925"/>
      <c r="ES31" s="925"/>
      <c r="ET31" s="925"/>
      <c r="EU31" s="925"/>
      <c r="EV31" s="925"/>
      <c r="EW31" s="925"/>
      <c r="EX31" s="925"/>
      <c r="EY31" s="925"/>
      <c r="EZ31" s="925"/>
      <c r="FA31" s="925"/>
      <c r="FB31" s="925"/>
      <c r="FC31" s="925"/>
      <c r="FD31" s="925"/>
      <c r="FE31" s="925"/>
      <c r="FF31" s="925"/>
      <c r="FG31" s="925"/>
      <c r="FH31" s="925"/>
      <c r="FI31" s="925"/>
      <c r="FJ31" s="925"/>
      <c r="FK31" s="925"/>
      <c r="FL31" s="925"/>
      <c r="FM31" s="925"/>
      <c r="FN31" s="925"/>
      <c r="FO31" s="925"/>
      <c r="FP31" s="925"/>
      <c r="FQ31" s="925"/>
      <c r="FR31" s="925"/>
      <c r="FS31" s="925"/>
      <c r="FT31" s="925"/>
      <c r="FU31" s="925"/>
      <c r="FV31" s="925"/>
      <c r="FW31" s="925"/>
      <c r="FX31" s="925"/>
      <c r="FY31" s="925"/>
      <c r="FZ31" s="925"/>
      <c r="GA31" s="925"/>
      <c r="GB31" s="925"/>
      <c r="GC31" s="925"/>
      <c r="GD31" s="925"/>
      <c r="GE31" s="925"/>
      <c r="GF31" s="925"/>
      <c r="GG31" s="925"/>
      <c r="GH31" s="925"/>
      <c r="GI31" s="925"/>
      <c r="GJ31" s="925"/>
      <c r="GK31" s="925"/>
      <c r="GL31" s="925"/>
      <c r="GM31" s="925"/>
      <c r="GN31" s="925"/>
      <c r="GO31" s="925"/>
      <c r="GP31" s="925"/>
      <c r="GQ31" s="925"/>
      <c r="GR31" s="925"/>
      <c r="GS31" s="925"/>
      <c r="GT31" s="925"/>
      <c r="GU31" s="925"/>
      <c r="GV31" s="925"/>
      <c r="GW31" s="925"/>
      <c r="GX31" s="925"/>
      <c r="GY31" s="925"/>
      <c r="GZ31" s="925"/>
      <c r="HA31" s="925"/>
      <c r="HB31" s="925"/>
      <c r="HC31" s="925"/>
      <c r="HD31" s="925"/>
      <c r="HE31" s="925"/>
      <c r="HF31" s="925"/>
      <c r="HG31" s="925"/>
      <c r="HH31" s="925"/>
      <c r="HI31" s="925"/>
      <c r="HJ31" s="925"/>
      <c r="HK31" s="925"/>
      <c r="HL31" s="925"/>
      <c r="HM31" s="925"/>
      <c r="HN31" s="925"/>
      <c r="HO31" s="925"/>
      <c r="HP31" s="925"/>
      <c r="HQ31" s="925"/>
      <c r="HR31" s="925"/>
      <c r="HS31" s="925"/>
      <c r="HT31" s="925"/>
      <c r="HU31" s="925"/>
      <c r="HV31" s="925"/>
      <c r="HW31" s="925"/>
      <c r="HX31" s="925"/>
      <c r="HY31" s="925"/>
      <c r="HZ31" s="925"/>
      <c r="IA31" s="925"/>
      <c r="IB31" s="925"/>
      <c r="IC31" s="925"/>
      <c r="ID31" s="925"/>
      <c r="IE31" s="925"/>
      <c r="IF31" s="925"/>
      <c r="IG31" s="925"/>
      <c r="IH31" s="925"/>
      <c r="II31" s="925"/>
      <c r="IJ31" s="925"/>
      <c r="IK31" s="925"/>
      <c r="IL31" s="925"/>
      <c r="IM31" s="925"/>
      <c r="IN31" s="925"/>
      <c r="IO31" s="925"/>
      <c r="IP31" s="925"/>
      <c r="IQ31" s="925"/>
      <c r="IR31" s="925"/>
      <c r="IS31" s="925"/>
      <c r="IT31" s="925"/>
      <c r="IU31" s="925"/>
      <c r="IV31" s="925"/>
    </row>
    <row r="32" s="923" customFormat="1" ht="15" customHeight="1" spans="1:256">
      <c r="A32" s="942" t="s">
        <v>355</v>
      </c>
      <c r="B32" s="938">
        <f>SUM(B29:B31)</f>
        <v>0</v>
      </c>
      <c r="C32" s="938">
        <f>SUM(C29:C31)</f>
        <v>0</v>
      </c>
      <c r="D32" s="934" t="s">
        <v>356</v>
      </c>
      <c r="E32" s="934"/>
      <c r="F32" s="944" t="str">
        <f>IF(AND(B14&gt;0,B27&lt;=0,B37&gt;0),H5,IF(AND(B14&gt;0,B27&lt;=0,B37&lt;=0),H9,IF(AND(B14&gt;0,B27&gt;0,B37&gt;0),H11,IF(AND(B14&gt;0,B27&gt;0,B37&lt;=0),H13,IF(AND(B14&lt;=0,B27&lt;=0,B37&gt;0),H16,IF(AND(B14&lt;=0,B27&lt;=0,B37&lt;=0),H20,IF(AND(B14&lt;=0,B27&gt;0,B37&gt;0),H23,H26)))))))</f>
        <v>表明企业进入成熟期。在这个阶段产品销售市场稳定，已进入投资回收期，经营及投资进入良性循环，财务状况稳定安全，但很多外部资金需要偿还，以保持企业良好的资信程度。</v>
      </c>
      <c r="G32" s="944"/>
      <c r="H32" s="944"/>
      <c r="I32" s="925"/>
      <c r="J32" s="925"/>
      <c r="K32" s="925"/>
      <c r="L32" s="925"/>
      <c r="M32" s="925"/>
      <c r="N32" s="925"/>
      <c r="O32" s="925"/>
      <c r="P32" s="925"/>
      <c r="Q32" s="925"/>
      <c r="R32" s="925"/>
      <c r="S32" s="925"/>
      <c r="T32" s="925"/>
      <c r="U32" s="925"/>
      <c r="V32" s="925"/>
      <c r="W32" s="925"/>
      <c r="X32" s="925"/>
      <c r="Y32" s="925"/>
      <c r="Z32" s="925"/>
      <c r="AA32" s="925"/>
      <c r="AB32" s="925"/>
      <c r="AC32" s="925"/>
      <c r="AD32" s="925"/>
      <c r="AE32" s="925"/>
      <c r="AF32" s="925"/>
      <c r="AG32" s="925"/>
      <c r="AH32" s="925"/>
      <c r="AI32" s="925"/>
      <c r="AJ32" s="925"/>
      <c r="AK32" s="925"/>
      <c r="AL32" s="925"/>
      <c r="AM32" s="925"/>
      <c r="AN32" s="925"/>
      <c r="AO32" s="925"/>
      <c r="AP32" s="925"/>
      <c r="AQ32" s="925"/>
      <c r="AR32" s="925"/>
      <c r="AS32" s="925"/>
      <c r="AT32" s="925"/>
      <c r="AU32" s="925"/>
      <c r="AV32" s="925"/>
      <c r="AW32" s="925"/>
      <c r="AX32" s="925"/>
      <c r="AY32" s="925"/>
      <c r="AZ32" s="925"/>
      <c r="BA32" s="925"/>
      <c r="BB32" s="925"/>
      <c r="BC32" s="925"/>
      <c r="BD32" s="925"/>
      <c r="BE32" s="925"/>
      <c r="BF32" s="925"/>
      <c r="BG32" s="925"/>
      <c r="BH32" s="925"/>
      <c r="BI32" s="925"/>
      <c r="BJ32" s="925"/>
      <c r="BK32" s="925"/>
      <c r="BL32" s="925"/>
      <c r="BM32" s="925"/>
      <c r="BN32" s="925"/>
      <c r="BO32" s="925"/>
      <c r="BP32" s="925"/>
      <c r="BQ32" s="925"/>
      <c r="BR32" s="925"/>
      <c r="BS32" s="925"/>
      <c r="BT32" s="925"/>
      <c r="BU32" s="925"/>
      <c r="BV32" s="925"/>
      <c r="BW32" s="925"/>
      <c r="BX32" s="925"/>
      <c r="BY32" s="925"/>
      <c r="BZ32" s="925"/>
      <c r="CA32" s="925"/>
      <c r="CB32" s="925"/>
      <c r="CC32" s="925"/>
      <c r="CD32" s="925"/>
      <c r="CE32" s="925"/>
      <c r="CF32" s="925"/>
      <c r="CG32" s="925"/>
      <c r="CH32" s="925"/>
      <c r="CI32" s="925"/>
      <c r="CJ32" s="925"/>
      <c r="CK32" s="925"/>
      <c r="CL32" s="925"/>
      <c r="CM32" s="925"/>
      <c r="CN32" s="925"/>
      <c r="CO32" s="925"/>
      <c r="CP32" s="925"/>
      <c r="CQ32" s="925"/>
      <c r="CR32" s="925"/>
      <c r="CS32" s="925"/>
      <c r="CT32" s="925"/>
      <c r="CU32" s="925"/>
      <c r="CV32" s="925"/>
      <c r="CW32" s="925"/>
      <c r="CX32" s="925"/>
      <c r="CY32" s="925"/>
      <c r="CZ32" s="925"/>
      <c r="DA32" s="925"/>
      <c r="DB32" s="925"/>
      <c r="DC32" s="925"/>
      <c r="DD32" s="925"/>
      <c r="DE32" s="925"/>
      <c r="DF32" s="925"/>
      <c r="DG32" s="925"/>
      <c r="DH32" s="925"/>
      <c r="DI32" s="925"/>
      <c r="DJ32" s="925"/>
      <c r="DK32" s="925"/>
      <c r="DL32" s="925"/>
      <c r="DM32" s="925"/>
      <c r="DN32" s="925"/>
      <c r="DO32" s="925"/>
      <c r="DP32" s="925"/>
      <c r="DQ32" s="925"/>
      <c r="DR32" s="925"/>
      <c r="DS32" s="925"/>
      <c r="DT32" s="925"/>
      <c r="DU32" s="925"/>
      <c r="DV32" s="925"/>
      <c r="DW32" s="925"/>
      <c r="DX32" s="925"/>
      <c r="DY32" s="925"/>
      <c r="DZ32" s="925"/>
      <c r="EA32" s="925"/>
      <c r="EB32" s="925"/>
      <c r="EC32" s="925"/>
      <c r="ED32" s="925"/>
      <c r="EE32" s="925"/>
      <c r="EF32" s="925"/>
      <c r="EG32" s="925"/>
      <c r="EH32" s="925"/>
      <c r="EI32" s="925"/>
      <c r="EJ32" s="925"/>
      <c r="EK32" s="925"/>
      <c r="EL32" s="925"/>
      <c r="EM32" s="925"/>
      <c r="EN32" s="925"/>
      <c r="EO32" s="925"/>
      <c r="EP32" s="925"/>
      <c r="EQ32" s="925"/>
      <c r="ER32" s="925"/>
      <c r="ES32" s="925"/>
      <c r="ET32" s="925"/>
      <c r="EU32" s="925"/>
      <c r="EV32" s="925"/>
      <c r="EW32" s="925"/>
      <c r="EX32" s="925"/>
      <c r="EY32" s="925"/>
      <c r="EZ32" s="925"/>
      <c r="FA32" s="925"/>
      <c r="FB32" s="925"/>
      <c r="FC32" s="925"/>
      <c r="FD32" s="925"/>
      <c r="FE32" s="925"/>
      <c r="FF32" s="925"/>
      <c r="FG32" s="925"/>
      <c r="FH32" s="925"/>
      <c r="FI32" s="925"/>
      <c r="FJ32" s="925"/>
      <c r="FK32" s="925"/>
      <c r="FL32" s="925"/>
      <c r="FM32" s="925"/>
      <c r="FN32" s="925"/>
      <c r="FO32" s="925"/>
      <c r="FP32" s="925"/>
      <c r="FQ32" s="925"/>
      <c r="FR32" s="925"/>
      <c r="FS32" s="925"/>
      <c r="FT32" s="925"/>
      <c r="FU32" s="925"/>
      <c r="FV32" s="925"/>
      <c r="FW32" s="925"/>
      <c r="FX32" s="925"/>
      <c r="FY32" s="925"/>
      <c r="FZ32" s="925"/>
      <c r="GA32" s="925"/>
      <c r="GB32" s="925"/>
      <c r="GC32" s="925"/>
      <c r="GD32" s="925"/>
      <c r="GE32" s="925"/>
      <c r="GF32" s="925"/>
      <c r="GG32" s="925"/>
      <c r="GH32" s="925"/>
      <c r="GI32" s="925"/>
      <c r="GJ32" s="925"/>
      <c r="GK32" s="925"/>
      <c r="GL32" s="925"/>
      <c r="GM32" s="925"/>
      <c r="GN32" s="925"/>
      <c r="GO32" s="925"/>
      <c r="GP32" s="925"/>
      <c r="GQ32" s="925"/>
      <c r="GR32" s="925"/>
      <c r="GS32" s="925"/>
      <c r="GT32" s="925"/>
      <c r="GU32" s="925"/>
      <c r="GV32" s="925"/>
      <c r="GW32" s="925"/>
      <c r="GX32" s="925"/>
      <c r="GY32" s="925"/>
      <c r="GZ32" s="925"/>
      <c r="HA32" s="925"/>
      <c r="HB32" s="925"/>
      <c r="HC32" s="925"/>
      <c r="HD32" s="925"/>
      <c r="HE32" s="925"/>
      <c r="HF32" s="925"/>
      <c r="HG32" s="925"/>
      <c r="HH32" s="925"/>
      <c r="HI32" s="925"/>
      <c r="HJ32" s="925"/>
      <c r="HK32" s="925"/>
      <c r="HL32" s="925"/>
      <c r="HM32" s="925"/>
      <c r="HN32" s="925"/>
      <c r="HO32" s="925"/>
      <c r="HP32" s="925"/>
      <c r="HQ32" s="925"/>
      <c r="HR32" s="925"/>
      <c r="HS32" s="925"/>
      <c r="HT32" s="925"/>
      <c r="HU32" s="925"/>
      <c r="HV32" s="925"/>
      <c r="HW32" s="925"/>
      <c r="HX32" s="925"/>
      <c r="HY32" s="925"/>
      <c r="HZ32" s="925"/>
      <c r="IA32" s="925"/>
      <c r="IB32" s="925"/>
      <c r="IC32" s="925"/>
      <c r="ID32" s="925"/>
      <c r="IE32" s="925"/>
      <c r="IF32" s="925"/>
      <c r="IG32" s="925"/>
      <c r="IH32" s="925"/>
      <c r="II32" s="925"/>
      <c r="IJ32" s="925"/>
      <c r="IK32" s="925"/>
      <c r="IL32" s="925"/>
      <c r="IM32" s="925"/>
      <c r="IN32" s="925"/>
      <c r="IO32" s="925"/>
      <c r="IP32" s="925"/>
      <c r="IQ32" s="925"/>
      <c r="IR32" s="925"/>
      <c r="IS32" s="925"/>
      <c r="IT32" s="925"/>
      <c r="IU32" s="925"/>
      <c r="IV32" s="925"/>
    </row>
    <row r="33" s="923" customFormat="1" ht="15" customHeight="1" spans="1:256">
      <c r="A33" s="937" t="s">
        <v>357</v>
      </c>
      <c r="B33" s="938">
        <f>IF((资产负债表!E6-资产负债表!F6+资产负债表!E20-资产负债表!F20+资产负债表!E21-资产负债表!F21+资产负债表!E22-资产负债表!F22+资产负债表!E23-资产负债表!F23+资产负债表!E26-资产负债表!F26)&lt;0,ABS(资产负债表!E6-资产负债表!F6+资产负债表!E20-资产负债表!F20+资产负债表!E21-资产负债表!F21+资产负债表!E22-资产负债表!F22+资产负债表!E23-资产负债表!F23+资产负债表!E26-资产负债表!F26),"")</f>
        <v>61111</v>
      </c>
      <c r="C33" s="939"/>
      <c r="D33" s="934"/>
      <c r="E33" s="934"/>
      <c r="F33" s="944"/>
      <c r="G33" s="944"/>
      <c r="H33" s="944"/>
      <c r="I33" s="925"/>
      <c r="J33" s="925"/>
      <c r="K33" s="925"/>
      <c r="L33" s="925"/>
      <c r="M33" s="925"/>
      <c r="N33" s="925"/>
      <c r="O33" s="925"/>
      <c r="P33" s="925"/>
      <c r="Q33" s="925"/>
      <c r="R33" s="925"/>
      <c r="S33" s="925"/>
      <c r="T33" s="925"/>
      <c r="U33" s="925"/>
      <c r="V33" s="925"/>
      <c r="W33" s="925"/>
      <c r="X33" s="925"/>
      <c r="Y33" s="925"/>
      <c r="Z33" s="925"/>
      <c r="AA33" s="925"/>
      <c r="AB33" s="925"/>
      <c r="AC33" s="925"/>
      <c r="AD33" s="925"/>
      <c r="AE33" s="925"/>
      <c r="AF33" s="925"/>
      <c r="AG33" s="925"/>
      <c r="AH33" s="925"/>
      <c r="AI33" s="925"/>
      <c r="AJ33" s="925"/>
      <c r="AK33" s="925"/>
      <c r="AL33" s="925"/>
      <c r="AM33" s="925"/>
      <c r="AN33" s="925"/>
      <c r="AO33" s="925"/>
      <c r="AP33" s="925"/>
      <c r="AQ33" s="925"/>
      <c r="AR33" s="925"/>
      <c r="AS33" s="925"/>
      <c r="AT33" s="925"/>
      <c r="AU33" s="925"/>
      <c r="AV33" s="925"/>
      <c r="AW33" s="925"/>
      <c r="AX33" s="925"/>
      <c r="AY33" s="925"/>
      <c r="AZ33" s="925"/>
      <c r="BA33" s="925"/>
      <c r="BB33" s="925"/>
      <c r="BC33" s="925"/>
      <c r="BD33" s="925"/>
      <c r="BE33" s="925"/>
      <c r="BF33" s="925"/>
      <c r="BG33" s="925"/>
      <c r="BH33" s="925"/>
      <c r="BI33" s="925"/>
      <c r="BJ33" s="925"/>
      <c r="BK33" s="925"/>
      <c r="BL33" s="925"/>
      <c r="BM33" s="925"/>
      <c r="BN33" s="925"/>
      <c r="BO33" s="925"/>
      <c r="BP33" s="925"/>
      <c r="BQ33" s="925"/>
      <c r="BR33" s="925"/>
      <c r="BS33" s="925"/>
      <c r="BT33" s="925"/>
      <c r="BU33" s="925"/>
      <c r="BV33" s="925"/>
      <c r="BW33" s="925"/>
      <c r="BX33" s="925"/>
      <c r="BY33" s="925"/>
      <c r="BZ33" s="925"/>
      <c r="CA33" s="925"/>
      <c r="CB33" s="925"/>
      <c r="CC33" s="925"/>
      <c r="CD33" s="925"/>
      <c r="CE33" s="925"/>
      <c r="CF33" s="925"/>
      <c r="CG33" s="925"/>
      <c r="CH33" s="925"/>
      <c r="CI33" s="925"/>
      <c r="CJ33" s="925"/>
      <c r="CK33" s="925"/>
      <c r="CL33" s="925"/>
      <c r="CM33" s="925"/>
      <c r="CN33" s="925"/>
      <c r="CO33" s="925"/>
      <c r="CP33" s="925"/>
      <c r="CQ33" s="925"/>
      <c r="CR33" s="925"/>
      <c r="CS33" s="925"/>
      <c r="CT33" s="925"/>
      <c r="CU33" s="925"/>
      <c r="CV33" s="925"/>
      <c r="CW33" s="925"/>
      <c r="CX33" s="925"/>
      <c r="CY33" s="925"/>
      <c r="CZ33" s="925"/>
      <c r="DA33" s="925"/>
      <c r="DB33" s="925"/>
      <c r="DC33" s="925"/>
      <c r="DD33" s="925"/>
      <c r="DE33" s="925"/>
      <c r="DF33" s="925"/>
      <c r="DG33" s="925"/>
      <c r="DH33" s="925"/>
      <c r="DI33" s="925"/>
      <c r="DJ33" s="925"/>
      <c r="DK33" s="925"/>
      <c r="DL33" s="925"/>
      <c r="DM33" s="925"/>
      <c r="DN33" s="925"/>
      <c r="DO33" s="925"/>
      <c r="DP33" s="925"/>
      <c r="DQ33" s="925"/>
      <c r="DR33" s="925"/>
      <c r="DS33" s="925"/>
      <c r="DT33" s="925"/>
      <c r="DU33" s="925"/>
      <c r="DV33" s="925"/>
      <c r="DW33" s="925"/>
      <c r="DX33" s="925"/>
      <c r="DY33" s="925"/>
      <c r="DZ33" s="925"/>
      <c r="EA33" s="925"/>
      <c r="EB33" s="925"/>
      <c r="EC33" s="925"/>
      <c r="ED33" s="925"/>
      <c r="EE33" s="925"/>
      <c r="EF33" s="925"/>
      <c r="EG33" s="925"/>
      <c r="EH33" s="925"/>
      <c r="EI33" s="925"/>
      <c r="EJ33" s="925"/>
      <c r="EK33" s="925"/>
      <c r="EL33" s="925"/>
      <c r="EM33" s="925"/>
      <c r="EN33" s="925"/>
      <c r="EO33" s="925"/>
      <c r="EP33" s="925"/>
      <c r="EQ33" s="925"/>
      <c r="ER33" s="925"/>
      <c r="ES33" s="925"/>
      <c r="ET33" s="925"/>
      <c r="EU33" s="925"/>
      <c r="EV33" s="925"/>
      <c r="EW33" s="925"/>
      <c r="EX33" s="925"/>
      <c r="EY33" s="925"/>
      <c r="EZ33" s="925"/>
      <c r="FA33" s="925"/>
      <c r="FB33" s="925"/>
      <c r="FC33" s="925"/>
      <c r="FD33" s="925"/>
      <c r="FE33" s="925"/>
      <c r="FF33" s="925"/>
      <c r="FG33" s="925"/>
      <c r="FH33" s="925"/>
      <c r="FI33" s="925"/>
      <c r="FJ33" s="925"/>
      <c r="FK33" s="925"/>
      <c r="FL33" s="925"/>
      <c r="FM33" s="925"/>
      <c r="FN33" s="925"/>
      <c r="FO33" s="925"/>
      <c r="FP33" s="925"/>
      <c r="FQ33" s="925"/>
      <c r="FR33" s="925"/>
      <c r="FS33" s="925"/>
      <c r="FT33" s="925"/>
      <c r="FU33" s="925"/>
      <c r="FV33" s="925"/>
      <c r="FW33" s="925"/>
      <c r="FX33" s="925"/>
      <c r="FY33" s="925"/>
      <c r="FZ33" s="925"/>
      <c r="GA33" s="925"/>
      <c r="GB33" s="925"/>
      <c r="GC33" s="925"/>
      <c r="GD33" s="925"/>
      <c r="GE33" s="925"/>
      <c r="GF33" s="925"/>
      <c r="GG33" s="925"/>
      <c r="GH33" s="925"/>
      <c r="GI33" s="925"/>
      <c r="GJ33" s="925"/>
      <c r="GK33" s="925"/>
      <c r="GL33" s="925"/>
      <c r="GM33" s="925"/>
      <c r="GN33" s="925"/>
      <c r="GO33" s="925"/>
      <c r="GP33" s="925"/>
      <c r="GQ33" s="925"/>
      <c r="GR33" s="925"/>
      <c r="GS33" s="925"/>
      <c r="GT33" s="925"/>
      <c r="GU33" s="925"/>
      <c r="GV33" s="925"/>
      <c r="GW33" s="925"/>
      <c r="GX33" s="925"/>
      <c r="GY33" s="925"/>
      <c r="GZ33" s="925"/>
      <c r="HA33" s="925"/>
      <c r="HB33" s="925"/>
      <c r="HC33" s="925"/>
      <c r="HD33" s="925"/>
      <c r="HE33" s="925"/>
      <c r="HF33" s="925"/>
      <c r="HG33" s="925"/>
      <c r="HH33" s="925"/>
      <c r="HI33" s="925"/>
      <c r="HJ33" s="925"/>
      <c r="HK33" s="925"/>
      <c r="HL33" s="925"/>
      <c r="HM33" s="925"/>
      <c r="HN33" s="925"/>
      <c r="HO33" s="925"/>
      <c r="HP33" s="925"/>
      <c r="HQ33" s="925"/>
      <c r="HR33" s="925"/>
      <c r="HS33" s="925"/>
      <c r="HT33" s="925"/>
      <c r="HU33" s="925"/>
      <c r="HV33" s="925"/>
      <c r="HW33" s="925"/>
      <c r="HX33" s="925"/>
      <c r="HY33" s="925"/>
      <c r="HZ33" s="925"/>
      <c r="IA33" s="925"/>
      <c r="IB33" s="925"/>
      <c r="IC33" s="925"/>
      <c r="ID33" s="925"/>
      <c r="IE33" s="925"/>
      <c r="IF33" s="925"/>
      <c r="IG33" s="925"/>
      <c r="IH33" s="925"/>
      <c r="II33" s="925"/>
      <c r="IJ33" s="925"/>
      <c r="IK33" s="925"/>
      <c r="IL33" s="925"/>
      <c r="IM33" s="925"/>
      <c r="IN33" s="925"/>
      <c r="IO33" s="925"/>
      <c r="IP33" s="925"/>
      <c r="IQ33" s="925"/>
      <c r="IR33" s="925"/>
      <c r="IS33" s="925"/>
      <c r="IT33" s="925"/>
      <c r="IU33" s="925"/>
      <c r="IV33" s="925"/>
    </row>
    <row r="34" s="923" customFormat="1" ht="15" customHeight="1" spans="1:256">
      <c r="A34" s="937" t="s">
        <v>358</v>
      </c>
      <c r="B34" s="938">
        <f>表外数据录入!C41</f>
        <v>0</v>
      </c>
      <c r="C34" s="939"/>
      <c r="D34" s="934"/>
      <c r="E34" s="934"/>
      <c r="F34" s="944"/>
      <c r="G34" s="944"/>
      <c r="H34" s="944"/>
      <c r="I34" s="925"/>
      <c r="J34" s="925"/>
      <c r="K34" s="925"/>
      <c r="L34" s="925"/>
      <c r="M34" s="925"/>
      <c r="N34" s="925"/>
      <c r="O34" s="925"/>
      <c r="P34" s="925"/>
      <c r="Q34" s="925"/>
      <c r="R34" s="925"/>
      <c r="S34" s="925"/>
      <c r="T34" s="925"/>
      <c r="U34" s="925"/>
      <c r="V34" s="925"/>
      <c r="W34" s="925"/>
      <c r="X34" s="925"/>
      <c r="Y34" s="925"/>
      <c r="Z34" s="925"/>
      <c r="AA34" s="925"/>
      <c r="AB34" s="925"/>
      <c r="AC34" s="925"/>
      <c r="AD34" s="925"/>
      <c r="AE34" s="925"/>
      <c r="AF34" s="925"/>
      <c r="AG34" s="925"/>
      <c r="AH34" s="925"/>
      <c r="AI34" s="925"/>
      <c r="AJ34" s="925"/>
      <c r="AK34" s="925"/>
      <c r="AL34" s="925"/>
      <c r="AM34" s="925"/>
      <c r="AN34" s="925"/>
      <c r="AO34" s="925"/>
      <c r="AP34" s="925"/>
      <c r="AQ34" s="925"/>
      <c r="AR34" s="925"/>
      <c r="AS34" s="925"/>
      <c r="AT34" s="925"/>
      <c r="AU34" s="925"/>
      <c r="AV34" s="925"/>
      <c r="AW34" s="925"/>
      <c r="AX34" s="925"/>
      <c r="AY34" s="925"/>
      <c r="AZ34" s="925"/>
      <c r="BA34" s="925"/>
      <c r="BB34" s="925"/>
      <c r="BC34" s="925"/>
      <c r="BD34" s="925"/>
      <c r="BE34" s="925"/>
      <c r="BF34" s="925"/>
      <c r="BG34" s="925"/>
      <c r="BH34" s="925"/>
      <c r="BI34" s="925"/>
      <c r="BJ34" s="925"/>
      <c r="BK34" s="925"/>
      <c r="BL34" s="925"/>
      <c r="BM34" s="925"/>
      <c r="BN34" s="925"/>
      <c r="BO34" s="925"/>
      <c r="BP34" s="925"/>
      <c r="BQ34" s="925"/>
      <c r="BR34" s="925"/>
      <c r="BS34" s="925"/>
      <c r="BT34" s="925"/>
      <c r="BU34" s="925"/>
      <c r="BV34" s="925"/>
      <c r="BW34" s="925"/>
      <c r="BX34" s="925"/>
      <c r="BY34" s="925"/>
      <c r="BZ34" s="925"/>
      <c r="CA34" s="925"/>
      <c r="CB34" s="925"/>
      <c r="CC34" s="925"/>
      <c r="CD34" s="925"/>
      <c r="CE34" s="925"/>
      <c r="CF34" s="925"/>
      <c r="CG34" s="925"/>
      <c r="CH34" s="925"/>
      <c r="CI34" s="925"/>
      <c r="CJ34" s="925"/>
      <c r="CK34" s="925"/>
      <c r="CL34" s="925"/>
      <c r="CM34" s="925"/>
      <c r="CN34" s="925"/>
      <c r="CO34" s="925"/>
      <c r="CP34" s="925"/>
      <c r="CQ34" s="925"/>
      <c r="CR34" s="925"/>
      <c r="CS34" s="925"/>
      <c r="CT34" s="925"/>
      <c r="CU34" s="925"/>
      <c r="CV34" s="925"/>
      <c r="CW34" s="925"/>
      <c r="CX34" s="925"/>
      <c r="CY34" s="925"/>
      <c r="CZ34" s="925"/>
      <c r="DA34" s="925"/>
      <c r="DB34" s="925"/>
      <c r="DC34" s="925"/>
      <c r="DD34" s="925"/>
      <c r="DE34" s="925"/>
      <c r="DF34" s="925"/>
      <c r="DG34" s="925"/>
      <c r="DH34" s="925"/>
      <c r="DI34" s="925"/>
      <c r="DJ34" s="925"/>
      <c r="DK34" s="925"/>
      <c r="DL34" s="925"/>
      <c r="DM34" s="925"/>
      <c r="DN34" s="925"/>
      <c r="DO34" s="925"/>
      <c r="DP34" s="925"/>
      <c r="DQ34" s="925"/>
      <c r="DR34" s="925"/>
      <c r="DS34" s="925"/>
      <c r="DT34" s="925"/>
      <c r="DU34" s="925"/>
      <c r="DV34" s="925"/>
      <c r="DW34" s="925"/>
      <c r="DX34" s="925"/>
      <c r="DY34" s="925"/>
      <c r="DZ34" s="925"/>
      <c r="EA34" s="925"/>
      <c r="EB34" s="925"/>
      <c r="EC34" s="925"/>
      <c r="ED34" s="925"/>
      <c r="EE34" s="925"/>
      <c r="EF34" s="925"/>
      <c r="EG34" s="925"/>
      <c r="EH34" s="925"/>
      <c r="EI34" s="925"/>
      <c r="EJ34" s="925"/>
      <c r="EK34" s="925"/>
      <c r="EL34" s="925"/>
      <c r="EM34" s="925"/>
      <c r="EN34" s="925"/>
      <c r="EO34" s="925"/>
      <c r="EP34" s="925"/>
      <c r="EQ34" s="925"/>
      <c r="ER34" s="925"/>
      <c r="ES34" s="925"/>
      <c r="ET34" s="925"/>
      <c r="EU34" s="925"/>
      <c r="EV34" s="925"/>
      <c r="EW34" s="925"/>
      <c r="EX34" s="925"/>
      <c r="EY34" s="925"/>
      <c r="EZ34" s="925"/>
      <c r="FA34" s="925"/>
      <c r="FB34" s="925"/>
      <c r="FC34" s="925"/>
      <c r="FD34" s="925"/>
      <c r="FE34" s="925"/>
      <c r="FF34" s="925"/>
      <c r="FG34" s="925"/>
      <c r="FH34" s="925"/>
      <c r="FI34" s="925"/>
      <c r="FJ34" s="925"/>
      <c r="FK34" s="925"/>
      <c r="FL34" s="925"/>
      <c r="FM34" s="925"/>
      <c r="FN34" s="925"/>
      <c r="FO34" s="925"/>
      <c r="FP34" s="925"/>
      <c r="FQ34" s="925"/>
      <c r="FR34" s="925"/>
      <c r="FS34" s="925"/>
      <c r="FT34" s="925"/>
      <c r="FU34" s="925"/>
      <c r="FV34" s="925"/>
      <c r="FW34" s="925"/>
      <c r="FX34" s="925"/>
      <c r="FY34" s="925"/>
      <c r="FZ34" s="925"/>
      <c r="GA34" s="925"/>
      <c r="GB34" s="925"/>
      <c r="GC34" s="925"/>
      <c r="GD34" s="925"/>
      <c r="GE34" s="925"/>
      <c r="GF34" s="925"/>
      <c r="GG34" s="925"/>
      <c r="GH34" s="925"/>
      <c r="GI34" s="925"/>
      <c r="GJ34" s="925"/>
      <c r="GK34" s="925"/>
      <c r="GL34" s="925"/>
      <c r="GM34" s="925"/>
      <c r="GN34" s="925"/>
      <c r="GO34" s="925"/>
      <c r="GP34" s="925"/>
      <c r="GQ34" s="925"/>
      <c r="GR34" s="925"/>
      <c r="GS34" s="925"/>
      <c r="GT34" s="925"/>
      <c r="GU34" s="925"/>
      <c r="GV34" s="925"/>
      <c r="GW34" s="925"/>
      <c r="GX34" s="925"/>
      <c r="GY34" s="925"/>
      <c r="GZ34" s="925"/>
      <c r="HA34" s="925"/>
      <c r="HB34" s="925"/>
      <c r="HC34" s="925"/>
      <c r="HD34" s="925"/>
      <c r="HE34" s="925"/>
      <c r="HF34" s="925"/>
      <c r="HG34" s="925"/>
      <c r="HH34" s="925"/>
      <c r="HI34" s="925"/>
      <c r="HJ34" s="925"/>
      <c r="HK34" s="925"/>
      <c r="HL34" s="925"/>
      <c r="HM34" s="925"/>
      <c r="HN34" s="925"/>
      <c r="HO34" s="925"/>
      <c r="HP34" s="925"/>
      <c r="HQ34" s="925"/>
      <c r="HR34" s="925"/>
      <c r="HS34" s="925"/>
      <c r="HT34" s="925"/>
      <c r="HU34" s="925"/>
      <c r="HV34" s="925"/>
      <c r="HW34" s="925"/>
      <c r="HX34" s="925"/>
      <c r="HY34" s="925"/>
      <c r="HZ34" s="925"/>
      <c r="IA34" s="925"/>
      <c r="IB34" s="925"/>
      <c r="IC34" s="925"/>
      <c r="ID34" s="925"/>
      <c r="IE34" s="925"/>
      <c r="IF34" s="925"/>
      <c r="IG34" s="925"/>
      <c r="IH34" s="925"/>
      <c r="II34" s="925"/>
      <c r="IJ34" s="925"/>
      <c r="IK34" s="925"/>
      <c r="IL34" s="925"/>
      <c r="IM34" s="925"/>
      <c r="IN34" s="925"/>
      <c r="IO34" s="925"/>
      <c r="IP34" s="925"/>
      <c r="IQ34" s="925"/>
      <c r="IR34" s="925"/>
      <c r="IS34" s="925"/>
      <c r="IT34" s="925"/>
      <c r="IU34" s="925"/>
      <c r="IV34" s="925"/>
    </row>
    <row r="35" s="923" customFormat="1" ht="15" customHeight="1" spans="1:256">
      <c r="A35" s="937" t="s">
        <v>359</v>
      </c>
      <c r="B35" s="938">
        <f>表外数据录入!C67</f>
        <v>0</v>
      </c>
      <c r="C35" s="939"/>
      <c r="D35" s="934"/>
      <c r="E35" s="934"/>
      <c r="F35" s="944"/>
      <c r="G35" s="944"/>
      <c r="H35" s="944"/>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5"/>
      <c r="AK35" s="925"/>
      <c r="AL35" s="925"/>
      <c r="AM35" s="925"/>
      <c r="AN35" s="925"/>
      <c r="AO35" s="925"/>
      <c r="AP35" s="925"/>
      <c r="AQ35" s="925"/>
      <c r="AR35" s="925"/>
      <c r="AS35" s="925"/>
      <c r="AT35" s="925"/>
      <c r="AU35" s="925"/>
      <c r="AV35" s="925"/>
      <c r="AW35" s="925"/>
      <c r="AX35" s="925"/>
      <c r="AY35" s="925"/>
      <c r="AZ35" s="925"/>
      <c r="BA35" s="925"/>
      <c r="BB35" s="925"/>
      <c r="BC35" s="925"/>
      <c r="BD35" s="925"/>
      <c r="BE35" s="925"/>
      <c r="BF35" s="925"/>
      <c r="BG35" s="925"/>
      <c r="BH35" s="925"/>
      <c r="BI35" s="925"/>
      <c r="BJ35" s="925"/>
      <c r="BK35" s="925"/>
      <c r="BL35" s="925"/>
      <c r="BM35" s="925"/>
      <c r="BN35" s="925"/>
      <c r="BO35" s="925"/>
      <c r="BP35" s="925"/>
      <c r="BQ35" s="925"/>
      <c r="BR35" s="925"/>
      <c r="BS35" s="925"/>
      <c r="BT35" s="925"/>
      <c r="BU35" s="925"/>
      <c r="BV35" s="925"/>
      <c r="BW35" s="925"/>
      <c r="BX35" s="925"/>
      <c r="BY35" s="925"/>
      <c r="BZ35" s="925"/>
      <c r="CA35" s="925"/>
      <c r="CB35" s="925"/>
      <c r="CC35" s="925"/>
      <c r="CD35" s="925"/>
      <c r="CE35" s="925"/>
      <c r="CF35" s="925"/>
      <c r="CG35" s="925"/>
      <c r="CH35" s="925"/>
      <c r="CI35" s="925"/>
      <c r="CJ35" s="925"/>
      <c r="CK35" s="925"/>
      <c r="CL35" s="925"/>
      <c r="CM35" s="925"/>
      <c r="CN35" s="925"/>
      <c r="CO35" s="925"/>
      <c r="CP35" s="925"/>
      <c r="CQ35" s="925"/>
      <c r="CR35" s="925"/>
      <c r="CS35" s="925"/>
      <c r="CT35" s="925"/>
      <c r="CU35" s="925"/>
      <c r="CV35" s="925"/>
      <c r="CW35" s="925"/>
      <c r="CX35" s="925"/>
      <c r="CY35" s="925"/>
      <c r="CZ35" s="925"/>
      <c r="DA35" s="925"/>
      <c r="DB35" s="925"/>
      <c r="DC35" s="925"/>
      <c r="DD35" s="925"/>
      <c r="DE35" s="925"/>
      <c r="DF35" s="925"/>
      <c r="DG35" s="925"/>
      <c r="DH35" s="925"/>
      <c r="DI35" s="925"/>
      <c r="DJ35" s="925"/>
      <c r="DK35" s="925"/>
      <c r="DL35" s="925"/>
      <c r="DM35" s="925"/>
      <c r="DN35" s="925"/>
      <c r="DO35" s="925"/>
      <c r="DP35" s="925"/>
      <c r="DQ35" s="925"/>
      <c r="DR35" s="925"/>
      <c r="DS35" s="925"/>
      <c r="DT35" s="925"/>
      <c r="DU35" s="925"/>
      <c r="DV35" s="925"/>
      <c r="DW35" s="925"/>
      <c r="DX35" s="925"/>
      <c r="DY35" s="925"/>
      <c r="DZ35" s="925"/>
      <c r="EA35" s="925"/>
      <c r="EB35" s="925"/>
      <c r="EC35" s="925"/>
      <c r="ED35" s="925"/>
      <c r="EE35" s="925"/>
      <c r="EF35" s="925"/>
      <c r="EG35" s="925"/>
      <c r="EH35" s="925"/>
      <c r="EI35" s="925"/>
      <c r="EJ35" s="925"/>
      <c r="EK35" s="925"/>
      <c r="EL35" s="925"/>
      <c r="EM35" s="925"/>
      <c r="EN35" s="925"/>
      <c r="EO35" s="925"/>
      <c r="EP35" s="925"/>
      <c r="EQ35" s="925"/>
      <c r="ER35" s="925"/>
      <c r="ES35" s="925"/>
      <c r="ET35" s="925"/>
      <c r="EU35" s="925"/>
      <c r="EV35" s="925"/>
      <c r="EW35" s="925"/>
      <c r="EX35" s="925"/>
      <c r="EY35" s="925"/>
      <c r="EZ35" s="925"/>
      <c r="FA35" s="925"/>
      <c r="FB35" s="925"/>
      <c r="FC35" s="925"/>
      <c r="FD35" s="925"/>
      <c r="FE35" s="925"/>
      <c r="FF35" s="925"/>
      <c r="FG35" s="925"/>
      <c r="FH35" s="925"/>
      <c r="FI35" s="925"/>
      <c r="FJ35" s="925"/>
      <c r="FK35" s="925"/>
      <c r="FL35" s="925"/>
      <c r="FM35" s="925"/>
      <c r="FN35" s="925"/>
      <c r="FO35" s="925"/>
      <c r="FP35" s="925"/>
      <c r="FQ35" s="925"/>
      <c r="FR35" s="925"/>
      <c r="FS35" s="925"/>
      <c r="FT35" s="925"/>
      <c r="FU35" s="925"/>
      <c r="FV35" s="925"/>
      <c r="FW35" s="925"/>
      <c r="FX35" s="925"/>
      <c r="FY35" s="925"/>
      <c r="FZ35" s="925"/>
      <c r="GA35" s="925"/>
      <c r="GB35" s="925"/>
      <c r="GC35" s="925"/>
      <c r="GD35" s="925"/>
      <c r="GE35" s="925"/>
      <c r="GF35" s="925"/>
      <c r="GG35" s="925"/>
      <c r="GH35" s="925"/>
      <c r="GI35" s="925"/>
      <c r="GJ35" s="925"/>
      <c r="GK35" s="925"/>
      <c r="GL35" s="925"/>
      <c r="GM35" s="925"/>
      <c r="GN35" s="925"/>
      <c r="GO35" s="925"/>
      <c r="GP35" s="925"/>
      <c r="GQ35" s="925"/>
      <c r="GR35" s="925"/>
      <c r="GS35" s="925"/>
      <c r="GT35" s="925"/>
      <c r="GU35" s="925"/>
      <c r="GV35" s="925"/>
      <c r="GW35" s="925"/>
      <c r="GX35" s="925"/>
      <c r="GY35" s="925"/>
      <c r="GZ35" s="925"/>
      <c r="HA35" s="925"/>
      <c r="HB35" s="925"/>
      <c r="HC35" s="925"/>
      <c r="HD35" s="925"/>
      <c r="HE35" s="925"/>
      <c r="HF35" s="925"/>
      <c r="HG35" s="925"/>
      <c r="HH35" s="925"/>
      <c r="HI35" s="925"/>
      <c r="HJ35" s="925"/>
      <c r="HK35" s="925"/>
      <c r="HL35" s="925"/>
      <c r="HM35" s="925"/>
      <c r="HN35" s="925"/>
      <c r="HO35" s="925"/>
      <c r="HP35" s="925"/>
      <c r="HQ35" s="925"/>
      <c r="HR35" s="925"/>
      <c r="HS35" s="925"/>
      <c r="HT35" s="925"/>
      <c r="HU35" s="925"/>
      <c r="HV35" s="925"/>
      <c r="HW35" s="925"/>
      <c r="HX35" s="925"/>
      <c r="HY35" s="925"/>
      <c r="HZ35" s="925"/>
      <c r="IA35" s="925"/>
      <c r="IB35" s="925"/>
      <c r="IC35" s="925"/>
      <c r="ID35" s="925"/>
      <c r="IE35" s="925"/>
      <c r="IF35" s="925"/>
      <c r="IG35" s="925"/>
      <c r="IH35" s="925"/>
      <c r="II35" s="925"/>
      <c r="IJ35" s="925"/>
      <c r="IK35" s="925"/>
      <c r="IL35" s="925"/>
      <c r="IM35" s="925"/>
      <c r="IN35" s="925"/>
      <c r="IO35" s="925"/>
      <c r="IP35" s="925"/>
      <c r="IQ35" s="925"/>
      <c r="IR35" s="925"/>
      <c r="IS35" s="925"/>
      <c r="IT35" s="925"/>
      <c r="IU35" s="925"/>
      <c r="IV35" s="925"/>
    </row>
    <row r="36" s="923" customFormat="1" ht="15" customHeight="1" spans="1:256">
      <c r="A36" s="942" t="s">
        <v>360</v>
      </c>
      <c r="B36" s="938">
        <f>SUM(B33:B35)</f>
        <v>61111</v>
      </c>
      <c r="C36" s="938">
        <f>SUM(C33:C35)</f>
        <v>0</v>
      </c>
      <c r="D36" s="934"/>
      <c r="E36" s="934"/>
      <c r="F36" s="944"/>
      <c r="G36" s="944"/>
      <c r="H36" s="944"/>
      <c r="I36" s="925"/>
      <c r="J36" s="925"/>
      <c r="K36" s="925"/>
      <c r="L36" s="925"/>
      <c r="M36" s="925"/>
      <c r="N36" s="925"/>
      <c r="O36" s="925"/>
      <c r="P36" s="925"/>
      <c r="Q36" s="925"/>
      <c r="R36" s="925"/>
      <c r="S36" s="925"/>
      <c r="T36" s="925"/>
      <c r="U36" s="925"/>
      <c r="V36" s="925"/>
      <c r="W36" s="925"/>
      <c r="X36" s="925"/>
      <c r="Y36" s="925"/>
      <c r="Z36" s="925"/>
      <c r="AA36" s="925"/>
      <c r="AB36" s="925"/>
      <c r="AC36" s="925"/>
      <c r="AD36" s="925"/>
      <c r="AE36" s="925"/>
      <c r="AF36" s="925"/>
      <c r="AG36" s="925"/>
      <c r="AH36" s="925"/>
      <c r="AI36" s="925"/>
      <c r="AJ36" s="925"/>
      <c r="AK36" s="925"/>
      <c r="AL36" s="925"/>
      <c r="AM36" s="925"/>
      <c r="AN36" s="925"/>
      <c r="AO36" s="925"/>
      <c r="AP36" s="925"/>
      <c r="AQ36" s="925"/>
      <c r="AR36" s="925"/>
      <c r="AS36" s="925"/>
      <c r="AT36" s="925"/>
      <c r="AU36" s="925"/>
      <c r="AV36" s="925"/>
      <c r="AW36" s="925"/>
      <c r="AX36" s="925"/>
      <c r="AY36" s="925"/>
      <c r="AZ36" s="925"/>
      <c r="BA36" s="925"/>
      <c r="BB36" s="925"/>
      <c r="BC36" s="925"/>
      <c r="BD36" s="925"/>
      <c r="BE36" s="925"/>
      <c r="BF36" s="925"/>
      <c r="BG36" s="925"/>
      <c r="BH36" s="925"/>
      <c r="BI36" s="925"/>
      <c r="BJ36" s="925"/>
      <c r="BK36" s="925"/>
      <c r="BL36" s="925"/>
      <c r="BM36" s="925"/>
      <c r="BN36" s="925"/>
      <c r="BO36" s="925"/>
      <c r="BP36" s="925"/>
      <c r="BQ36" s="925"/>
      <c r="BR36" s="925"/>
      <c r="BS36" s="925"/>
      <c r="BT36" s="925"/>
      <c r="BU36" s="925"/>
      <c r="BV36" s="925"/>
      <c r="BW36" s="925"/>
      <c r="BX36" s="925"/>
      <c r="BY36" s="925"/>
      <c r="BZ36" s="925"/>
      <c r="CA36" s="925"/>
      <c r="CB36" s="925"/>
      <c r="CC36" s="925"/>
      <c r="CD36" s="925"/>
      <c r="CE36" s="925"/>
      <c r="CF36" s="925"/>
      <c r="CG36" s="925"/>
      <c r="CH36" s="925"/>
      <c r="CI36" s="925"/>
      <c r="CJ36" s="925"/>
      <c r="CK36" s="925"/>
      <c r="CL36" s="925"/>
      <c r="CM36" s="925"/>
      <c r="CN36" s="925"/>
      <c r="CO36" s="925"/>
      <c r="CP36" s="925"/>
      <c r="CQ36" s="925"/>
      <c r="CR36" s="925"/>
      <c r="CS36" s="925"/>
      <c r="CT36" s="925"/>
      <c r="CU36" s="925"/>
      <c r="CV36" s="925"/>
      <c r="CW36" s="925"/>
      <c r="CX36" s="925"/>
      <c r="CY36" s="925"/>
      <c r="CZ36" s="925"/>
      <c r="DA36" s="925"/>
      <c r="DB36" s="925"/>
      <c r="DC36" s="925"/>
      <c r="DD36" s="925"/>
      <c r="DE36" s="925"/>
      <c r="DF36" s="925"/>
      <c r="DG36" s="925"/>
      <c r="DH36" s="925"/>
      <c r="DI36" s="925"/>
      <c r="DJ36" s="925"/>
      <c r="DK36" s="925"/>
      <c r="DL36" s="925"/>
      <c r="DM36" s="925"/>
      <c r="DN36" s="925"/>
      <c r="DO36" s="925"/>
      <c r="DP36" s="925"/>
      <c r="DQ36" s="925"/>
      <c r="DR36" s="925"/>
      <c r="DS36" s="925"/>
      <c r="DT36" s="925"/>
      <c r="DU36" s="925"/>
      <c r="DV36" s="925"/>
      <c r="DW36" s="925"/>
      <c r="DX36" s="925"/>
      <c r="DY36" s="925"/>
      <c r="DZ36" s="925"/>
      <c r="EA36" s="925"/>
      <c r="EB36" s="925"/>
      <c r="EC36" s="925"/>
      <c r="ED36" s="925"/>
      <c r="EE36" s="925"/>
      <c r="EF36" s="925"/>
      <c r="EG36" s="925"/>
      <c r="EH36" s="925"/>
      <c r="EI36" s="925"/>
      <c r="EJ36" s="925"/>
      <c r="EK36" s="925"/>
      <c r="EL36" s="925"/>
      <c r="EM36" s="925"/>
      <c r="EN36" s="925"/>
      <c r="EO36" s="925"/>
      <c r="EP36" s="925"/>
      <c r="EQ36" s="925"/>
      <c r="ER36" s="925"/>
      <c r="ES36" s="925"/>
      <c r="ET36" s="925"/>
      <c r="EU36" s="925"/>
      <c r="EV36" s="925"/>
      <c r="EW36" s="925"/>
      <c r="EX36" s="925"/>
      <c r="EY36" s="925"/>
      <c r="EZ36" s="925"/>
      <c r="FA36" s="925"/>
      <c r="FB36" s="925"/>
      <c r="FC36" s="925"/>
      <c r="FD36" s="925"/>
      <c r="FE36" s="925"/>
      <c r="FF36" s="925"/>
      <c r="FG36" s="925"/>
      <c r="FH36" s="925"/>
      <c r="FI36" s="925"/>
      <c r="FJ36" s="925"/>
      <c r="FK36" s="925"/>
      <c r="FL36" s="925"/>
      <c r="FM36" s="925"/>
      <c r="FN36" s="925"/>
      <c r="FO36" s="925"/>
      <c r="FP36" s="925"/>
      <c r="FQ36" s="925"/>
      <c r="FR36" s="925"/>
      <c r="FS36" s="925"/>
      <c r="FT36" s="925"/>
      <c r="FU36" s="925"/>
      <c r="FV36" s="925"/>
      <c r="FW36" s="925"/>
      <c r="FX36" s="925"/>
      <c r="FY36" s="925"/>
      <c r="FZ36" s="925"/>
      <c r="GA36" s="925"/>
      <c r="GB36" s="925"/>
      <c r="GC36" s="925"/>
      <c r="GD36" s="925"/>
      <c r="GE36" s="925"/>
      <c r="GF36" s="925"/>
      <c r="GG36" s="925"/>
      <c r="GH36" s="925"/>
      <c r="GI36" s="925"/>
      <c r="GJ36" s="925"/>
      <c r="GK36" s="925"/>
      <c r="GL36" s="925"/>
      <c r="GM36" s="925"/>
      <c r="GN36" s="925"/>
      <c r="GO36" s="925"/>
      <c r="GP36" s="925"/>
      <c r="GQ36" s="925"/>
      <c r="GR36" s="925"/>
      <c r="GS36" s="925"/>
      <c r="GT36" s="925"/>
      <c r="GU36" s="925"/>
      <c r="GV36" s="925"/>
      <c r="GW36" s="925"/>
      <c r="GX36" s="925"/>
      <c r="GY36" s="925"/>
      <c r="GZ36" s="925"/>
      <c r="HA36" s="925"/>
      <c r="HB36" s="925"/>
      <c r="HC36" s="925"/>
      <c r="HD36" s="925"/>
      <c r="HE36" s="925"/>
      <c r="HF36" s="925"/>
      <c r="HG36" s="925"/>
      <c r="HH36" s="925"/>
      <c r="HI36" s="925"/>
      <c r="HJ36" s="925"/>
      <c r="HK36" s="925"/>
      <c r="HL36" s="925"/>
      <c r="HM36" s="925"/>
      <c r="HN36" s="925"/>
      <c r="HO36" s="925"/>
      <c r="HP36" s="925"/>
      <c r="HQ36" s="925"/>
      <c r="HR36" s="925"/>
      <c r="HS36" s="925"/>
      <c r="HT36" s="925"/>
      <c r="HU36" s="925"/>
      <c r="HV36" s="925"/>
      <c r="HW36" s="925"/>
      <c r="HX36" s="925"/>
      <c r="HY36" s="925"/>
      <c r="HZ36" s="925"/>
      <c r="IA36" s="925"/>
      <c r="IB36" s="925"/>
      <c r="IC36" s="925"/>
      <c r="ID36" s="925"/>
      <c r="IE36" s="925"/>
      <c r="IF36" s="925"/>
      <c r="IG36" s="925"/>
      <c r="IH36" s="925"/>
      <c r="II36" s="925"/>
      <c r="IJ36" s="925"/>
      <c r="IK36" s="925"/>
      <c r="IL36" s="925"/>
      <c r="IM36" s="925"/>
      <c r="IN36" s="925"/>
      <c r="IO36" s="925"/>
      <c r="IP36" s="925"/>
      <c r="IQ36" s="925"/>
      <c r="IR36" s="925"/>
      <c r="IS36" s="925"/>
      <c r="IT36" s="925"/>
      <c r="IU36" s="925"/>
      <c r="IV36" s="925"/>
    </row>
    <row r="37" s="923" customFormat="1" ht="15" customHeight="1" spans="1:256">
      <c r="A37" s="943" t="s">
        <v>361</v>
      </c>
      <c r="B37" s="938">
        <f>B32-B36</f>
        <v>-61111</v>
      </c>
      <c r="C37" s="938">
        <f>C32-C36</f>
        <v>0</v>
      </c>
      <c r="D37" s="945" t="s">
        <v>362</v>
      </c>
      <c r="E37" s="934" t="s">
        <v>314</v>
      </c>
      <c r="F37" s="946"/>
      <c r="G37" s="946"/>
      <c r="H37" s="946"/>
      <c r="I37" s="925"/>
      <c r="J37" s="925"/>
      <c r="K37" s="925"/>
      <c r="L37" s="925"/>
      <c r="M37" s="925"/>
      <c r="N37" s="925"/>
      <c r="O37" s="925"/>
      <c r="P37" s="925"/>
      <c r="Q37" s="925"/>
      <c r="R37" s="925"/>
      <c r="S37" s="925"/>
      <c r="T37" s="925"/>
      <c r="U37" s="925"/>
      <c r="V37" s="925"/>
      <c r="W37" s="925"/>
      <c r="X37" s="925"/>
      <c r="Y37" s="925"/>
      <c r="Z37" s="925"/>
      <c r="AA37" s="925"/>
      <c r="AB37" s="925"/>
      <c r="AC37" s="925"/>
      <c r="AD37" s="925"/>
      <c r="AE37" s="925"/>
      <c r="AF37" s="925"/>
      <c r="AG37" s="925"/>
      <c r="AH37" s="925"/>
      <c r="AI37" s="925"/>
      <c r="AJ37" s="925"/>
      <c r="AK37" s="925"/>
      <c r="AL37" s="925"/>
      <c r="AM37" s="925"/>
      <c r="AN37" s="925"/>
      <c r="AO37" s="925"/>
      <c r="AP37" s="925"/>
      <c r="AQ37" s="925"/>
      <c r="AR37" s="925"/>
      <c r="AS37" s="925"/>
      <c r="AT37" s="925"/>
      <c r="AU37" s="925"/>
      <c r="AV37" s="925"/>
      <c r="AW37" s="925"/>
      <c r="AX37" s="925"/>
      <c r="AY37" s="925"/>
      <c r="AZ37" s="925"/>
      <c r="BA37" s="925"/>
      <c r="BB37" s="925"/>
      <c r="BC37" s="925"/>
      <c r="BD37" s="925"/>
      <c r="BE37" s="925"/>
      <c r="BF37" s="925"/>
      <c r="BG37" s="925"/>
      <c r="BH37" s="925"/>
      <c r="BI37" s="925"/>
      <c r="BJ37" s="925"/>
      <c r="BK37" s="925"/>
      <c r="BL37" s="925"/>
      <c r="BM37" s="925"/>
      <c r="BN37" s="925"/>
      <c r="BO37" s="925"/>
      <c r="BP37" s="925"/>
      <c r="BQ37" s="925"/>
      <c r="BR37" s="925"/>
      <c r="BS37" s="925"/>
      <c r="BT37" s="925"/>
      <c r="BU37" s="925"/>
      <c r="BV37" s="925"/>
      <c r="BW37" s="925"/>
      <c r="BX37" s="925"/>
      <c r="BY37" s="925"/>
      <c r="BZ37" s="925"/>
      <c r="CA37" s="925"/>
      <c r="CB37" s="925"/>
      <c r="CC37" s="925"/>
      <c r="CD37" s="925"/>
      <c r="CE37" s="925"/>
      <c r="CF37" s="925"/>
      <c r="CG37" s="925"/>
      <c r="CH37" s="925"/>
      <c r="CI37" s="925"/>
      <c r="CJ37" s="925"/>
      <c r="CK37" s="925"/>
      <c r="CL37" s="925"/>
      <c r="CM37" s="925"/>
      <c r="CN37" s="925"/>
      <c r="CO37" s="925"/>
      <c r="CP37" s="925"/>
      <c r="CQ37" s="925"/>
      <c r="CR37" s="925"/>
      <c r="CS37" s="925"/>
      <c r="CT37" s="925"/>
      <c r="CU37" s="925"/>
      <c r="CV37" s="925"/>
      <c r="CW37" s="925"/>
      <c r="CX37" s="925"/>
      <c r="CY37" s="925"/>
      <c r="CZ37" s="925"/>
      <c r="DA37" s="925"/>
      <c r="DB37" s="925"/>
      <c r="DC37" s="925"/>
      <c r="DD37" s="925"/>
      <c r="DE37" s="925"/>
      <c r="DF37" s="925"/>
      <c r="DG37" s="925"/>
      <c r="DH37" s="925"/>
      <c r="DI37" s="925"/>
      <c r="DJ37" s="925"/>
      <c r="DK37" s="925"/>
      <c r="DL37" s="925"/>
      <c r="DM37" s="925"/>
      <c r="DN37" s="925"/>
      <c r="DO37" s="925"/>
      <c r="DP37" s="925"/>
      <c r="DQ37" s="925"/>
      <c r="DR37" s="925"/>
      <c r="DS37" s="925"/>
      <c r="DT37" s="925"/>
      <c r="DU37" s="925"/>
      <c r="DV37" s="925"/>
      <c r="DW37" s="925"/>
      <c r="DX37" s="925"/>
      <c r="DY37" s="925"/>
      <c r="DZ37" s="925"/>
      <c r="EA37" s="925"/>
      <c r="EB37" s="925"/>
      <c r="EC37" s="925"/>
      <c r="ED37" s="925"/>
      <c r="EE37" s="925"/>
      <c r="EF37" s="925"/>
      <c r="EG37" s="925"/>
      <c r="EH37" s="925"/>
      <c r="EI37" s="925"/>
      <c r="EJ37" s="925"/>
      <c r="EK37" s="925"/>
      <c r="EL37" s="925"/>
      <c r="EM37" s="925"/>
      <c r="EN37" s="925"/>
      <c r="EO37" s="925"/>
      <c r="EP37" s="925"/>
      <c r="EQ37" s="925"/>
      <c r="ER37" s="925"/>
      <c r="ES37" s="925"/>
      <c r="ET37" s="925"/>
      <c r="EU37" s="925"/>
      <c r="EV37" s="925"/>
      <c r="EW37" s="925"/>
      <c r="EX37" s="925"/>
      <c r="EY37" s="925"/>
      <c r="EZ37" s="925"/>
      <c r="FA37" s="925"/>
      <c r="FB37" s="925"/>
      <c r="FC37" s="925"/>
      <c r="FD37" s="925"/>
      <c r="FE37" s="925"/>
      <c r="FF37" s="925"/>
      <c r="FG37" s="925"/>
      <c r="FH37" s="925"/>
      <c r="FI37" s="925"/>
      <c r="FJ37" s="925"/>
      <c r="FK37" s="925"/>
      <c r="FL37" s="925"/>
      <c r="FM37" s="925"/>
      <c r="FN37" s="925"/>
      <c r="FO37" s="925"/>
      <c r="FP37" s="925"/>
      <c r="FQ37" s="925"/>
      <c r="FR37" s="925"/>
      <c r="FS37" s="925"/>
      <c r="FT37" s="925"/>
      <c r="FU37" s="925"/>
      <c r="FV37" s="925"/>
      <c r="FW37" s="925"/>
      <c r="FX37" s="925"/>
      <c r="FY37" s="925"/>
      <c r="FZ37" s="925"/>
      <c r="GA37" s="925"/>
      <c r="GB37" s="925"/>
      <c r="GC37" s="925"/>
      <c r="GD37" s="925"/>
      <c r="GE37" s="925"/>
      <c r="GF37" s="925"/>
      <c r="GG37" s="925"/>
      <c r="GH37" s="925"/>
      <c r="GI37" s="925"/>
      <c r="GJ37" s="925"/>
      <c r="GK37" s="925"/>
      <c r="GL37" s="925"/>
      <c r="GM37" s="925"/>
      <c r="GN37" s="925"/>
      <c r="GO37" s="925"/>
      <c r="GP37" s="925"/>
      <c r="GQ37" s="925"/>
      <c r="GR37" s="925"/>
      <c r="GS37" s="925"/>
      <c r="GT37" s="925"/>
      <c r="GU37" s="925"/>
      <c r="GV37" s="925"/>
      <c r="GW37" s="925"/>
      <c r="GX37" s="925"/>
      <c r="GY37" s="925"/>
      <c r="GZ37" s="925"/>
      <c r="HA37" s="925"/>
      <c r="HB37" s="925"/>
      <c r="HC37" s="925"/>
      <c r="HD37" s="925"/>
      <c r="HE37" s="925"/>
      <c r="HF37" s="925"/>
      <c r="HG37" s="925"/>
      <c r="HH37" s="925"/>
      <c r="HI37" s="925"/>
      <c r="HJ37" s="925"/>
      <c r="HK37" s="925"/>
      <c r="HL37" s="925"/>
      <c r="HM37" s="925"/>
      <c r="HN37" s="925"/>
      <c r="HO37" s="925"/>
      <c r="HP37" s="925"/>
      <c r="HQ37" s="925"/>
      <c r="HR37" s="925"/>
      <c r="HS37" s="925"/>
      <c r="HT37" s="925"/>
      <c r="HU37" s="925"/>
      <c r="HV37" s="925"/>
      <c r="HW37" s="925"/>
      <c r="HX37" s="925"/>
      <c r="HY37" s="925"/>
      <c r="HZ37" s="925"/>
      <c r="IA37" s="925"/>
      <c r="IB37" s="925"/>
      <c r="IC37" s="925"/>
      <c r="ID37" s="925"/>
      <c r="IE37" s="925"/>
      <c r="IF37" s="925"/>
      <c r="IG37" s="925"/>
      <c r="IH37" s="925"/>
      <c r="II37" s="925"/>
      <c r="IJ37" s="925"/>
      <c r="IK37" s="925"/>
      <c r="IL37" s="925"/>
      <c r="IM37" s="925"/>
      <c r="IN37" s="925"/>
      <c r="IO37" s="925"/>
      <c r="IP37" s="925"/>
      <c r="IQ37" s="925"/>
      <c r="IR37" s="925"/>
      <c r="IS37" s="925"/>
      <c r="IT37" s="925"/>
      <c r="IU37" s="925"/>
      <c r="IV37" s="925"/>
    </row>
    <row r="38" s="923" customFormat="1" ht="15" customHeight="1" spans="1:256">
      <c r="A38" s="935" t="s">
        <v>363</v>
      </c>
      <c r="B38" s="939"/>
      <c r="C38" s="939"/>
      <c r="D38" s="945"/>
      <c r="E38" s="934"/>
      <c r="F38" s="946"/>
      <c r="G38" s="946"/>
      <c r="H38" s="946"/>
      <c r="I38" s="925"/>
      <c r="J38" s="925"/>
      <c r="K38" s="925"/>
      <c r="L38" s="925"/>
      <c r="M38" s="925"/>
      <c r="N38" s="925"/>
      <c r="O38" s="925"/>
      <c r="P38" s="925"/>
      <c r="Q38" s="925"/>
      <c r="R38" s="925"/>
      <c r="S38" s="925"/>
      <c r="T38" s="925"/>
      <c r="U38" s="925"/>
      <c r="V38" s="925"/>
      <c r="W38" s="925"/>
      <c r="X38" s="925"/>
      <c r="Y38" s="925"/>
      <c r="Z38" s="925"/>
      <c r="AA38" s="925"/>
      <c r="AB38" s="925"/>
      <c r="AC38" s="925"/>
      <c r="AD38" s="925"/>
      <c r="AE38" s="925"/>
      <c r="AF38" s="925"/>
      <c r="AG38" s="925"/>
      <c r="AH38" s="925"/>
      <c r="AI38" s="925"/>
      <c r="AJ38" s="925"/>
      <c r="AK38" s="925"/>
      <c r="AL38" s="925"/>
      <c r="AM38" s="925"/>
      <c r="AN38" s="925"/>
      <c r="AO38" s="925"/>
      <c r="AP38" s="925"/>
      <c r="AQ38" s="925"/>
      <c r="AR38" s="925"/>
      <c r="AS38" s="925"/>
      <c r="AT38" s="925"/>
      <c r="AU38" s="925"/>
      <c r="AV38" s="925"/>
      <c r="AW38" s="925"/>
      <c r="AX38" s="925"/>
      <c r="AY38" s="925"/>
      <c r="AZ38" s="925"/>
      <c r="BA38" s="925"/>
      <c r="BB38" s="925"/>
      <c r="BC38" s="925"/>
      <c r="BD38" s="925"/>
      <c r="BE38" s="925"/>
      <c r="BF38" s="925"/>
      <c r="BG38" s="925"/>
      <c r="BH38" s="925"/>
      <c r="BI38" s="925"/>
      <c r="BJ38" s="925"/>
      <c r="BK38" s="925"/>
      <c r="BL38" s="925"/>
      <c r="BM38" s="925"/>
      <c r="BN38" s="925"/>
      <c r="BO38" s="925"/>
      <c r="BP38" s="925"/>
      <c r="BQ38" s="925"/>
      <c r="BR38" s="925"/>
      <c r="BS38" s="925"/>
      <c r="BT38" s="925"/>
      <c r="BU38" s="925"/>
      <c r="BV38" s="925"/>
      <c r="BW38" s="925"/>
      <c r="BX38" s="925"/>
      <c r="BY38" s="925"/>
      <c r="BZ38" s="925"/>
      <c r="CA38" s="925"/>
      <c r="CB38" s="925"/>
      <c r="CC38" s="925"/>
      <c r="CD38" s="925"/>
      <c r="CE38" s="925"/>
      <c r="CF38" s="925"/>
      <c r="CG38" s="925"/>
      <c r="CH38" s="925"/>
      <c r="CI38" s="925"/>
      <c r="CJ38" s="925"/>
      <c r="CK38" s="925"/>
      <c r="CL38" s="925"/>
      <c r="CM38" s="925"/>
      <c r="CN38" s="925"/>
      <c r="CO38" s="925"/>
      <c r="CP38" s="925"/>
      <c r="CQ38" s="925"/>
      <c r="CR38" s="925"/>
      <c r="CS38" s="925"/>
      <c r="CT38" s="925"/>
      <c r="CU38" s="925"/>
      <c r="CV38" s="925"/>
      <c r="CW38" s="925"/>
      <c r="CX38" s="925"/>
      <c r="CY38" s="925"/>
      <c r="CZ38" s="925"/>
      <c r="DA38" s="925"/>
      <c r="DB38" s="925"/>
      <c r="DC38" s="925"/>
      <c r="DD38" s="925"/>
      <c r="DE38" s="925"/>
      <c r="DF38" s="925"/>
      <c r="DG38" s="925"/>
      <c r="DH38" s="925"/>
      <c r="DI38" s="925"/>
      <c r="DJ38" s="925"/>
      <c r="DK38" s="925"/>
      <c r="DL38" s="925"/>
      <c r="DM38" s="925"/>
      <c r="DN38" s="925"/>
      <c r="DO38" s="925"/>
      <c r="DP38" s="925"/>
      <c r="DQ38" s="925"/>
      <c r="DR38" s="925"/>
      <c r="DS38" s="925"/>
      <c r="DT38" s="925"/>
      <c r="DU38" s="925"/>
      <c r="DV38" s="925"/>
      <c r="DW38" s="925"/>
      <c r="DX38" s="925"/>
      <c r="DY38" s="925"/>
      <c r="DZ38" s="925"/>
      <c r="EA38" s="925"/>
      <c r="EB38" s="925"/>
      <c r="EC38" s="925"/>
      <c r="ED38" s="925"/>
      <c r="EE38" s="925"/>
      <c r="EF38" s="925"/>
      <c r="EG38" s="925"/>
      <c r="EH38" s="925"/>
      <c r="EI38" s="925"/>
      <c r="EJ38" s="925"/>
      <c r="EK38" s="925"/>
      <c r="EL38" s="925"/>
      <c r="EM38" s="925"/>
      <c r="EN38" s="925"/>
      <c r="EO38" s="925"/>
      <c r="EP38" s="925"/>
      <c r="EQ38" s="925"/>
      <c r="ER38" s="925"/>
      <c r="ES38" s="925"/>
      <c r="ET38" s="925"/>
      <c r="EU38" s="925"/>
      <c r="EV38" s="925"/>
      <c r="EW38" s="925"/>
      <c r="EX38" s="925"/>
      <c r="EY38" s="925"/>
      <c r="EZ38" s="925"/>
      <c r="FA38" s="925"/>
      <c r="FB38" s="925"/>
      <c r="FC38" s="925"/>
      <c r="FD38" s="925"/>
      <c r="FE38" s="925"/>
      <c r="FF38" s="925"/>
      <c r="FG38" s="925"/>
      <c r="FH38" s="925"/>
      <c r="FI38" s="925"/>
      <c r="FJ38" s="925"/>
      <c r="FK38" s="925"/>
      <c r="FL38" s="925"/>
      <c r="FM38" s="925"/>
      <c r="FN38" s="925"/>
      <c r="FO38" s="925"/>
      <c r="FP38" s="925"/>
      <c r="FQ38" s="925"/>
      <c r="FR38" s="925"/>
      <c r="FS38" s="925"/>
      <c r="FT38" s="925"/>
      <c r="FU38" s="925"/>
      <c r="FV38" s="925"/>
      <c r="FW38" s="925"/>
      <c r="FX38" s="925"/>
      <c r="FY38" s="925"/>
      <c r="FZ38" s="925"/>
      <c r="GA38" s="925"/>
      <c r="GB38" s="925"/>
      <c r="GC38" s="925"/>
      <c r="GD38" s="925"/>
      <c r="GE38" s="925"/>
      <c r="GF38" s="925"/>
      <c r="GG38" s="925"/>
      <c r="GH38" s="925"/>
      <c r="GI38" s="925"/>
      <c r="GJ38" s="925"/>
      <c r="GK38" s="925"/>
      <c r="GL38" s="925"/>
      <c r="GM38" s="925"/>
      <c r="GN38" s="925"/>
      <c r="GO38" s="925"/>
      <c r="GP38" s="925"/>
      <c r="GQ38" s="925"/>
      <c r="GR38" s="925"/>
      <c r="GS38" s="925"/>
      <c r="GT38" s="925"/>
      <c r="GU38" s="925"/>
      <c r="GV38" s="925"/>
      <c r="GW38" s="925"/>
      <c r="GX38" s="925"/>
      <c r="GY38" s="925"/>
      <c r="GZ38" s="925"/>
      <c r="HA38" s="925"/>
      <c r="HB38" s="925"/>
      <c r="HC38" s="925"/>
      <c r="HD38" s="925"/>
      <c r="HE38" s="925"/>
      <c r="HF38" s="925"/>
      <c r="HG38" s="925"/>
      <c r="HH38" s="925"/>
      <c r="HI38" s="925"/>
      <c r="HJ38" s="925"/>
      <c r="HK38" s="925"/>
      <c r="HL38" s="925"/>
      <c r="HM38" s="925"/>
      <c r="HN38" s="925"/>
      <c r="HO38" s="925"/>
      <c r="HP38" s="925"/>
      <c r="HQ38" s="925"/>
      <c r="HR38" s="925"/>
      <c r="HS38" s="925"/>
      <c r="HT38" s="925"/>
      <c r="HU38" s="925"/>
      <c r="HV38" s="925"/>
      <c r="HW38" s="925"/>
      <c r="HX38" s="925"/>
      <c r="HY38" s="925"/>
      <c r="HZ38" s="925"/>
      <c r="IA38" s="925"/>
      <c r="IB38" s="925"/>
      <c r="IC38" s="925"/>
      <c r="ID38" s="925"/>
      <c r="IE38" s="925"/>
      <c r="IF38" s="925"/>
      <c r="IG38" s="925"/>
      <c r="IH38" s="925"/>
      <c r="II38" s="925"/>
      <c r="IJ38" s="925"/>
      <c r="IK38" s="925"/>
      <c r="IL38" s="925"/>
      <c r="IM38" s="925"/>
      <c r="IN38" s="925"/>
      <c r="IO38" s="925"/>
      <c r="IP38" s="925"/>
      <c r="IQ38" s="925"/>
      <c r="IR38" s="925"/>
      <c r="IS38" s="925"/>
      <c r="IT38" s="925"/>
      <c r="IU38" s="925"/>
      <c r="IV38" s="925"/>
    </row>
    <row r="39" s="923" customFormat="1" ht="15" customHeight="1" spans="1:256">
      <c r="A39" s="935" t="s">
        <v>364</v>
      </c>
      <c r="B39" s="936">
        <f>B14+B27+B37+B38</f>
        <v>-3330</v>
      </c>
      <c r="C39" s="936">
        <f>C14+C27+C37+C38</f>
        <v>0</v>
      </c>
      <c r="D39" s="945"/>
      <c r="E39" s="934" t="s">
        <v>315</v>
      </c>
      <c r="F39" s="946"/>
      <c r="G39" s="946"/>
      <c r="H39" s="946"/>
      <c r="I39" s="925"/>
      <c r="J39" s="925"/>
      <c r="K39" s="925"/>
      <c r="L39" s="925"/>
      <c r="M39" s="925"/>
      <c r="N39" s="925"/>
      <c r="O39" s="925"/>
      <c r="P39" s="925"/>
      <c r="Q39" s="925"/>
      <c r="R39" s="925"/>
      <c r="S39" s="925"/>
      <c r="T39" s="925"/>
      <c r="U39" s="925"/>
      <c r="V39" s="925"/>
      <c r="W39" s="925"/>
      <c r="X39" s="925"/>
      <c r="Y39" s="925"/>
      <c r="Z39" s="925"/>
      <c r="AA39" s="925"/>
      <c r="AB39" s="925"/>
      <c r="AC39" s="925"/>
      <c r="AD39" s="925"/>
      <c r="AE39" s="925"/>
      <c r="AF39" s="925"/>
      <c r="AG39" s="925"/>
      <c r="AH39" s="925"/>
      <c r="AI39" s="925"/>
      <c r="AJ39" s="925"/>
      <c r="AK39" s="925"/>
      <c r="AL39" s="925"/>
      <c r="AM39" s="925"/>
      <c r="AN39" s="925"/>
      <c r="AO39" s="925"/>
      <c r="AP39" s="925"/>
      <c r="AQ39" s="925"/>
      <c r="AR39" s="925"/>
      <c r="AS39" s="925"/>
      <c r="AT39" s="925"/>
      <c r="AU39" s="925"/>
      <c r="AV39" s="925"/>
      <c r="AW39" s="925"/>
      <c r="AX39" s="925"/>
      <c r="AY39" s="925"/>
      <c r="AZ39" s="925"/>
      <c r="BA39" s="925"/>
      <c r="BB39" s="925"/>
      <c r="BC39" s="925"/>
      <c r="BD39" s="925"/>
      <c r="BE39" s="925"/>
      <c r="BF39" s="925"/>
      <c r="BG39" s="925"/>
      <c r="BH39" s="925"/>
      <c r="BI39" s="925"/>
      <c r="BJ39" s="925"/>
      <c r="BK39" s="925"/>
      <c r="BL39" s="925"/>
      <c r="BM39" s="925"/>
      <c r="BN39" s="925"/>
      <c r="BO39" s="925"/>
      <c r="BP39" s="925"/>
      <c r="BQ39" s="925"/>
      <c r="BR39" s="925"/>
      <c r="BS39" s="925"/>
      <c r="BT39" s="925"/>
      <c r="BU39" s="925"/>
      <c r="BV39" s="925"/>
      <c r="BW39" s="925"/>
      <c r="BX39" s="925"/>
      <c r="BY39" s="925"/>
      <c r="BZ39" s="925"/>
      <c r="CA39" s="925"/>
      <c r="CB39" s="925"/>
      <c r="CC39" s="925"/>
      <c r="CD39" s="925"/>
      <c r="CE39" s="925"/>
      <c r="CF39" s="925"/>
      <c r="CG39" s="925"/>
      <c r="CH39" s="925"/>
      <c r="CI39" s="925"/>
      <c r="CJ39" s="925"/>
      <c r="CK39" s="925"/>
      <c r="CL39" s="925"/>
      <c r="CM39" s="925"/>
      <c r="CN39" s="925"/>
      <c r="CO39" s="925"/>
      <c r="CP39" s="925"/>
      <c r="CQ39" s="925"/>
      <c r="CR39" s="925"/>
      <c r="CS39" s="925"/>
      <c r="CT39" s="925"/>
      <c r="CU39" s="925"/>
      <c r="CV39" s="925"/>
      <c r="CW39" s="925"/>
      <c r="CX39" s="925"/>
      <c r="CY39" s="925"/>
      <c r="CZ39" s="925"/>
      <c r="DA39" s="925"/>
      <c r="DB39" s="925"/>
      <c r="DC39" s="925"/>
      <c r="DD39" s="925"/>
      <c r="DE39" s="925"/>
      <c r="DF39" s="925"/>
      <c r="DG39" s="925"/>
      <c r="DH39" s="925"/>
      <c r="DI39" s="925"/>
      <c r="DJ39" s="925"/>
      <c r="DK39" s="925"/>
      <c r="DL39" s="925"/>
      <c r="DM39" s="925"/>
      <c r="DN39" s="925"/>
      <c r="DO39" s="925"/>
      <c r="DP39" s="925"/>
      <c r="DQ39" s="925"/>
      <c r="DR39" s="925"/>
      <c r="DS39" s="925"/>
      <c r="DT39" s="925"/>
      <c r="DU39" s="925"/>
      <c r="DV39" s="925"/>
      <c r="DW39" s="925"/>
      <c r="DX39" s="925"/>
      <c r="DY39" s="925"/>
      <c r="DZ39" s="925"/>
      <c r="EA39" s="925"/>
      <c r="EB39" s="925"/>
      <c r="EC39" s="925"/>
      <c r="ED39" s="925"/>
      <c r="EE39" s="925"/>
      <c r="EF39" s="925"/>
      <c r="EG39" s="925"/>
      <c r="EH39" s="925"/>
      <c r="EI39" s="925"/>
      <c r="EJ39" s="925"/>
      <c r="EK39" s="925"/>
      <c r="EL39" s="925"/>
      <c r="EM39" s="925"/>
      <c r="EN39" s="925"/>
      <c r="EO39" s="925"/>
      <c r="EP39" s="925"/>
      <c r="EQ39" s="925"/>
      <c r="ER39" s="925"/>
      <c r="ES39" s="925"/>
      <c r="ET39" s="925"/>
      <c r="EU39" s="925"/>
      <c r="EV39" s="925"/>
      <c r="EW39" s="925"/>
      <c r="EX39" s="925"/>
      <c r="EY39" s="925"/>
      <c r="EZ39" s="925"/>
      <c r="FA39" s="925"/>
      <c r="FB39" s="925"/>
      <c r="FC39" s="925"/>
      <c r="FD39" s="925"/>
      <c r="FE39" s="925"/>
      <c r="FF39" s="925"/>
      <c r="FG39" s="925"/>
      <c r="FH39" s="925"/>
      <c r="FI39" s="925"/>
      <c r="FJ39" s="925"/>
      <c r="FK39" s="925"/>
      <c r="FL39" s="925"/>
      <c r="FM39" s="925"/>
      <c r="FN39" s="925"/>
      <c r="FO39" s="925"/>
      <c r="FP39" s="925"/>
      <c r="FQ39" s="925"/>
      <c r="FR39" s="925"/>
      <c r="FS39" s="925"/>
      <c r="FT39" s="925"/>
      <c r="FU39" s="925"/>
      <c r="FV39" s="925"/>
      <c r="FW39" s="925"/>
      <c r="FX39" s="925"/>
      <c r="FY39" s="925"/>
      <c r="FZ39" s="925"/>
      <c r="GA39" s="925"/>
      <c r="GB39" s="925"/>
      <c r="GC39" s="925"/>
      <c r="GD39" s="925"/>
      <c r="GE39" s="925"/>
      <c r="GF39" s="925"/>
      <c r="GG39" s="925"/>
      <c r="GH39" s="925"/>
      <c r="GI39" s="925"/>
      <c r="GJ39" s="925"/>
      <c r="GK39" s="925"/>
      <c r="GL39" s="925"/>
      <c r="GM39" s="925"/>
      <c r="GN39" s="925"/>
      <c r="GO39" s="925"/>
      <c r="GP39" s="925"/>
      <c r="GQ39" s="925"/>
      <c r="GR39" s="925"/>
      <c r="GS39" s="925"/>
      <c r="GT39" s="925"/>
      <c r="GU39" s="925"/>
      <c r="GV39" s="925"/>
      <c r="GW39" s="925"/>
      <c r="GX39" s="925"/>
      <c r="GY39" s="925"/>
      <c r="GZ39" s="925"/>
      <c r="HA39" s="925"/>
      <c r="HB39" s="925"/>
      <c r="HC39" s="925"/>
      <c r="HD39" s="925"/>
      <c r="HE39" s="925"/>
      <c r="HF39" s="925"/>
      <c r="HG39" s="925"/>
      <c r="HH39" s="925"/>
      <c r="HI39" s="925"/>
      <c r="HJ39" s="925"/>
      <c r="HK39" s="925"/>
      <c r="HL39" s="925"/>
      <c r="HM39" s="925"/>
      <c r="HN39" s="925"/>
      <c r="HO39" s="925"/>
      <c r="HP39" s="925"/>
      <c r="HQ39" s="925"/>
      <c r="HR39" s="925"/>
      <c r="HS39" s="925"/>
      <c r="HT39" s="925"/>
      <c r="HU39" s="925"/>
      <c r="HV39" s="925"/>
      <c r="HW39" s="925"/>
      <c r="HX39" s="925"/>
      <c r="HY39" s="925"/>
      <c r="HZ39" s="925"/>
      <c r="IA39" s="925"/>
      <c r="IB39" s="925"/>
      <c r="IC39" s="925"/>
      <c r="ID39" s="925"/>
      <c r="IE39" s="925"/>
      <c r="IF39" s="925"/>
      <c r="IG39" s="925"/>
      <c r="IH39" s="925"/>
      <c r="II39" s="925"/>
      <c r="IJ39" s="925"/>
      <c r="IK39" s="925"/>
      <c r="IL39" s="925"/>
      <c r="IM39" s="925"/>
      <c r="IN39" s="925"/>
      <c r="IO39" s="925"/>
      <c r="IP39" s="925"/>
      <c r="IQ39" s="925"/>
      <c r="IR39" s="925"/>
      <c r="IS39" s="925"/>
      <c r="IT39" s="925"/>
      <c r="IU39" s="925"/>
      <c r="IV39" s="925"/>
    </row>
    <row r="40" s="923" customFormat="1" ht="15" customHeight="1" spans="1:256">
      <c r="A40" s="947" t="s">
        <v>365</v>
      </c>
      <c r="B40" s="948">
        <f>资产负债表!C6</f>
        <v>7889</v>
      </c>
      <c r="C40" s="949"/>
      <c r="D40" s="945"/>
      <c r="E40" s="934"/>
      <c r="F40" s="946"/>
      <c r="G40" s="946"/>
      <c r="H40" s="946"/>
      <c r="I40" s="925"/>
      <c r="J40" s="925"/>
      <c r="K40" s="925"/>
      <c r="L40" s="925"/>
      <c r="M40" s="925"/>
      <c r="N40" s="925"/>
      <c r="O40" s="925"/>
      <c r="P40" s="925"/>
      <c r="Q40" s="925"/>
      <c r="R40" s="925"/>
      <c r="S40" s="925"/>
      <c r="T40" s="925"/>
      <c r="U40" s="925"/>
      <c r="V40" s="925"/>
      <c r="W40" s="925"/>
      <c r="X40" s="925"/>
      <c r="Y40" s="925"/>
      <c r="Z40" s="925"/>
      <c r="AA40" s="925"/>
      <c r="AB40" s="925"/>
      <c r="AC40" s="925"/>
      <c r="AD40" s="925"/>
      <c r="AE40" s="925"/>
      <c r="AF40" s="925"/>
      <c r="AG40" s="925"/>
      <c r="AH40" s="925"/>
      <c r="AI40" s="925"/>
      <c r="AJ40" s="925"/>
      <c r="AK40" s="925"/>
      <c r="AL40" s="925"/>
      <c r="AM40" s="925"/>
      <c r="AN40" s="925"/>
      <c r="AO40" s="925"/>
      <c r="AP40" s="925"/>
      <c r="AQ40" s="925"/>
      <c r="AR40" s="925"/>
      <c r="AS40" s="925"/>
      <c r="AT40" s="925"/>
      <c r="AU40" s="925"/>
      <c r="AV40" s="925"/>
      <c r="AW40" s="925"/>
      <c r="AX40" s="925"/>
      <c r="AY40" s="925"/>
      <c r="AZ40" s="925"/>
      <c r="BA40" s="925"/>
      <c r="BB40" s="925"/>
      <c r="BC40" s="925"/>
      <c r="BD40" s="925"/>
      <c r="BE40" s="925"/>
      <c r="BF40" s="925"/>
      <c r="BG40" s="925"/>
      <c r="BH40" s="925"/>
      <c r="BI40" s="925"/>
      <c r="BJ40" s="925"/>
      <c r="BK40" s="925"/>
      <c r="BL40" s="925"/>
      <c r="BM40" s="925"/>
      <c r="BN40" s="925"/>
      <c r="BO40" s="925"/>
      <c r="BP40" s="925"/>
      <c r="BQ40" s="925"/>
      <c r="BR40" s="925"/>
      <c r="BS40" s="925"/>
      <c r="BT40" s="925"/>
      <c r="BU40" s="925"/>
      <c r="BV40" s="925"/>
      <c r="BW40" s="925"/>
      <c r="BX40" s="925"/>
      <c r="BY40" s="925"/>
      <c r="BZ40" s="925"/>
      <c r="CA40" s="925"/>
      <c r="CB40" s="925"/>
      <c r="CC40" s="925"/>
      <c r="CD40" s="925"/>
      <c r="CE40" s="925"/>
      <c r="CF40" s="925"/>
      <c r="CG40" s="925"/>
      <c r="CH40" s="925"/>
      <c r="CI40" s="925"/>
      <c r="CJ40" s="925"/>
      <c r="CK40" s="925"/>
      <c r="CL40" s="925"/>
      <c r="CM40" s="925"/>
      <c r="CN40" s="925"/>
      <c r="CO40" s="925"/>
      <c r="CP40" s="925"/>
      <c r="CQ40" s="925"/>
      <c r="CR40" s="925"/>
      <c r="CS40" s="925"/>
      <c r="CT40" s="925"/>
      <c r="CU40" s="925"/>
      <c r="CV40" s="925"/>
      <c r="CW40" s="925"/>
      <c r="CX40" s="925"/>
      <c r="CY40" s="925"/>
      <c r="CZ40" s="925"/>
      <c r="DA40" s="925"/>
      <c r="DB40" s="925"/>
      <c r="DC40" s="925"/>
      <c r="DD40" s="925"/>
      <c r="DE40" s="925"/>
      <c r="DF40" s="925"/>
      <c r="DG40" s="925"/>
      <c r="DH40" s="925"/>
      <c r="DI40" s="925"/>
      <c r="DJ40" s="925"/>
      <c r="DK40" s="925"/>
      <c r="DL40" s="925"/>
      <c r="DM40" s="925"/>
      <c r="DN40" s="925"/>
      <c r="DO40" s="925"/>
      <c r="DP40" s="925"/>
      <c r="DQ40" s="925"/>
      <c r="DR40" s="925"/>
      <c r="DS40" s="925"/>
      <c r="DT40" s="925"/>
      <c r="DU40" s="925"/>
      <c r="DV40" s="925"/>
      <c r="DW40" s="925"/>
      <c r="DX40" s="925"/>
      <c r="DY40" s="925"/>
      <c r="DZ40" s="925"/>
      <c r="EA40" s="925"/>
      <c r="EB40" s="925"/>
      <c r="EC40" s="925"/>
      <c r="ED40" s="925"/>
      <c r="EE40" s="925"/>
      <c r="EF40" s="925"/>
      <c r="EG40" s="925"/>
      <c r="EH40" s="925"/>
      <c r="EI40" s="925"/>
      <c r="EJ40" s="925"/>
      <c r="EK40" s="925"/>
      <c r="EL40" s="925"/>
      <c r="EM40" s="925"/>
      <c r="EN40" s="925"/>
      <c r="EO40" s="925"/>
      <c r="EP40" s="925"/>
      <c r="EQ40" s="925"/>
      <c r="ER40" s="925"/>
      <c r="ES40" s="925"/>
      <c r="ET40" s="925"/>
      <c r="EU40" s="925"/>
      <c r="EV40" s="925"/>
      <c r="EW40" s="925"/>
      <c r="EX40" s="925"/>
      <c r="EY40" s="925"/>
      <c r="EZ40" s="925"/>
      <c r="FA40" s="925"/>
      <c r="FB40" s="925"/>
      <c r="FC40" s="925"/>
      <c r="FD40" s="925"/>
      <c r="FE40" s="925"/>
      <c r="FF40" s="925"/>
      <c r="FG40" s="925"/>
      <c r="FH40" s="925"/>
      <c r="FI40" s="925"/>
      <c r="FJ40" s="925"/>
      <c r="FK40" s="925"/>
      <c r="FL40" s="925"/>
      <c r="FM40" s="925"/>
      <c r="FN40" s="925"/>
      <c r="FO40" s="925"/>
      <c r="FP40" s="925"/>
      <c r="FQ40" s="925"/>
      <c r="FR40" s="925"/>
      <c r="FS40" s="925"/>
      <c r="FT40" s="925"/>
      <c r="FU40" s="925"/>
      <c r="FV40" s="925"/>
      <c r="FW40" s="925"/>
      <c r="FX40" s="925"/>
      <c r="FY40" s="925"/>
      <c r="FZ40" s="925"/>
      <c r="GA40" s="925"/>
      <c r="GB40" s="925"/>
      <c r="GC40" s="925"/>
      <c r="GD40" s="925"/>
      <c r="GE40" s="925"/>
      <c r="GF40" s="925"/>
      <c r="GG40" s="925"/>
      <c r="GH40" s="925"/>
      <c r="GI40" s="925"/>
      <c r="GJ40" s="925"/>
      <c r="GK40" s="925"/>
      <c r="GL40" s="925"/>
      <c r="GM40" s="925"/>
      <c r="GN40" s="925"/>
      <c r="GO40" s="925"/>
      <c r="GP40" s="925"/>
      <c r="GQ40" s="925"/>
      <c r="GR40" s="925"/>
      <c r="GS40" s="925"/>
      <c r="GT40" s="925"/>
      <c r="GU40" s="925"/>
      <c r="GV40" s="925"/>
      <c r="GW40" s="925"/>
      <c r="GX40" s="925"/>
      <c r="GY40" s="925"/>
      <c r="GZ40" s="925"/>
      <c r="HA40" s="925"/>
      <c r="HB40" s="925"/>
      <c r="HC40" s="925"/>
      <c r="HD40" s="925"/>
      <c r="HE40" s="925"/>
      <c r="HF40" s="925"/>
      <c r="HG40" s="925"/>
      <c r="HH40" s="925"/>
      <c r="HI40" s="925"/>
      <c r="HJ40" s="925"/>
      <c r="HK40" s="925"/>
      <c r="HL40" s="925"/>
      <c r="HM40" s="925"/>
      <c r="HN40" s="925"/>
      <c r="HO40" s="925"/>
      <c r="HP40" s="925"/>
      <c r="HQ40" s="925"/>
      <c r="HR40" s="925"/>
      <c r="HS40" s="925"/>
      <c r="HT40" s="925"/>
      <c r="HU40" s="925"/>
      <c r="HV40" s="925"/>
      <c r="HW40" s="925"/>
      <c r="HX40" s="925"/>
      <c r="HY40" s="925"/>
      <c r="HZ40" s="925"/>
      <c r="IA40" s="925"/>
      <c r="IB40" s="925"/>
      <c r="IC40" s="925"/>
      <c r="ID40" s="925"/>
      <c r="IE40" s="925"/>
      <c r="IF40" s="925"/>
      <c r="IG40" s="925"/>
      <c r="IH40" s="925"/>
      <c r="II40" s="925"/>
      <c r="IJ40" s="925"/>
      <c r="IK40" s="925"/>
      <c r="IL40" s="925"/>
      <c r="IM40" s="925"/>
      <c r="IN40" s="925"/>
      <c r="IO40" s="925"/>
      <c r="IP40" s="925"/>
      <c r="IQ40" s="925"/>
      <c r="IR40" s="925"/>
      <c r="IS40" s="925"/>
      <c r="IT40" s="925"/>
      <c r="IU40" s="925"/>
      <c r="IV40" s="925"/>
    </row>
    <row r="41" s="923" customFormat="1" ht="15" customHeight="1" spans="1:256">
      <c r="A41" s="950" t="s">
        <v>366</v>
      </c>
      <c r="B41" s="951">
        <f>资产负债表!B6</f>
        <v>4559</v>
      </c>
      <c r="C41" s="951">
        <f>C39+C40</f>
        <v>0</v>
      </c>
      <c r="D41" s="945"/>
      <c r="E41" s="934" t="s">
        <v>316</v>
      </c>
      <c r="F41" s="946"/>
      <c r="G41" s="946"/>
      <c r="H41" s="946"/>
      <c r="I41" s="925"/>
      <c r="J41" s="925"/>
      <c r="K41" s="925"/>
      <c r="L41" s="925"/>
      <c r="M41" s="925"/>
      <c r="N41" s="925"/>
      <c r="O41" s="925"/>
      <c r="P41" s="925"/>
      <c r="Q41" s="925"/>
      <c r="R41" s="925"/>
      <c r="S41" s="925"/>
      <c r="T41" s="925"/>
      <c r="U41" s="925"/>
      <c r="V41" s="925"/>
      <c r="W41" s="925"/>
      <c r="X41" s="925"/>
      <c r="Y41" s="925"/>
      <c r="Z41" s="925"/>
      <c r="AA41" s="925"/>
      <c r="AB41" s="925"/>
      <c r="AC41" s="925"/>
      <c r="AD41" s="925"/>
      <c r="AE41" s="925"/>
      <c r="AF41" s="925"/>
      <c r="AG41" s="925"/>
      <c r="AH41" s="925"/>
      <c r="AI41" s="925"/>
      <c r="AJ41" s="925"/>
      <c r="AK41" s="925"/>
      <c r="AL41" s="925"/>
      <c r="AM41" s="925"/>
      <c r="AN41" s="925"/>
      <c r="AO41" s="925"/>
      <c r="AP41" s="925"/>
      <c r="AQ41" s="925"/>
      <c r="AR41" s="925"/>
      <c r="AS41" s="925"/>
      <c r="AT41" s="925"/>
      <c r="AU41" s="925"/>
      <c r="AV41" s="925"/>
      <c r="AW41" s="925"/>
      <c r="AX41" s="925"/>
      <c r="AY41" s="925"/>
      <c r="AZ41" s="925"/>
      <c r="BA41" s="925"/>
      <c r="BB41" s="925"/>
      <c r="BC41" s="925"/>
      <c r="BD41" s="925"/>
      <c r="BE41" s="925"/>
      <c r="BF41" s="925"/>
      <c r="BG41" s="925"/>
      <c r="BH41" s="925"/>
      <c r="BI41" s="925"/>
      <c r="BJ41" s="925"/>
      <c r="BK41" s="925"/>
      <c r="BL41" s="925"/>
      <c r="BM41" s="925"/>
      <c r="BN41" s="925"/>
      <c r="BO41" s="925"/>
      <c r="BP41" s="925"/>
      <c r="BQ41" s="925"/>
      <c r="BR41" s="925"/>
      <c r="BS41" s="925"/>
      <c r="BT41" s="925"/>
      <c r="BU41" s="925"/>
      <c r="BV41" s="925"/>
      <c r="BW41" s="925"/>
      <c r="BX41" s="925"/>
      <c r="BY41" s="925"/>
      <c r="BZ41" s="925"/>
      <c r="CA41" s="925"/>
      <c r="CB41" s="925"/>
      <c r="CC41" s="925"/>
      <c r="CD41" s="925"/>
      <c r="CE41" s="925"/>
      <c r="CF41" s="925"/>
      <c r="CG41" s="925"/>
      <c r="CH41" s="925"/>
      <c r="CI41" s="925"/>
      <c r="CJ41" s="925"/>
      <c r="CK41" s="925"/>
      <c r="CL41" s="925"/>
      <c r="CM41" s="925"/>
      <c r="CN41" s="925"/>
      <c r="CO41" s="925"/>
      <c r="CP41" s="925"/>
      <c r="CQ41" s="925"/>
      <c r="CR41" s="925"/>
      <c r="CS41" s="925"/>
      <c r="CT41" s="925"/>
      <c r="CU41" s="925"/>
      <c r="CV41" s="925"/>
      <c r="CW41" s="925"/>
      <c r="CX41" s="925"/>
      <c r="CY41" s="925"/>
      <c r="CZ41" s="925"/>
      <c r="DA41" s="925"/>
      <c r="DB41" s="925"/>
      <c r="DC41" s="925"/>
      <c r="DD41" s="925"/>
      <c r="DE41" s="925"/>
      <c r="DF41" s="925"/>
      <c r="DG41" s="925"/>
      <c r="DH41" s="925"/>
      <c r="DI41" s="925"/>
      <c r="DJ41" s="925"/>
      <c r="DK41" s="925"/>
      <c r="DL41" s="925"/>
      <c r="DM41" s="925"/>
      <c r="DN41" s="925"/>
      <c r="DO41" s="925"/>
      <c r="DP41" s="925"/>
      <c r="DQ41" s="925"/>
      <c r="DR41" s="925"/>
      <c r="DS41" s="925"/>
      <c r="DT41" s="925"/>
      <c r="DU41" s="925"/>
      <c r="DV41" s="925"/>
      <c r="DW41" s="925"/>
      <c r="DX41" s="925"/>
      <c r="DY41" s="925"/>
      <c r="DZ41" s="925"/>
      <c r="EA41" s="925"/>
      <c r="EB41" s="925"/>
      <c r="EC41" s="925"/>
      <c r="ED41" s="925"/>
      <c r="EE41" s="925"/>
      <c r="EF41" s="925"/>
      <c r="EG41" s="925"/>
      <c r="EH41" s="925"/>
      <c r="EI41" s="925"/>
      <c r="EJ41" s="925"/>
      <c r="EK41" s="925"/>
      <c r="EL41" s="925"/>
      <c r="EM41" s="925"/>
      <c r="EN41" s="925"/>
      <c r="EO41" s="925"/>
      <c r="EP41" s="925"/>
      <c r="EQ41" s="925"/>
      <c r="ER41" s="925"/>
      <c r="ES41" s="925"/>
      <c r="ET41" s="925"/>
      <c r="EU41" s="925"/>
      <c r="EV41" s="925"/>
      <c r="EW41" s="925"/>
      <c r="EX41" s="925"/>
      <c r="EY41" s="925"/>
      <c r="EZ41" s="925"/>
      <c r="FA41" s="925"/>
      <c r="FB41" s="925"/>
      <c r="FC41" s="925"/>
      <c r="FD41" s="925"/>
      <c r="FE41" s="925"/>
      <c r="FF41" s="925"/>
      <c r="FG41" s="925"/>
      <c r="FH41" s="925"/>
      <c r="FI41" s="925"/>
      <c r="FJ41" s="925"/>
      <c r="FK41" s="925"/>
      <c r="FL41" s="925"/>
      <c r="FM41" s="925"/>
      <c r="FN41" s="925"/>
      <c r="FO41" s="925"/>
      <c r="FP41" s="925"/>
      <c r="FQ41" s="925"/>
      <c r="FR41" s="925"/>
      <c r="FS41" s="925"/>
      <c r="FT41" s="925"/>
      <c r="FU41" s="925"/>
      <c r="FV41" s="925"/>
      <c r="FW41" s="925"/>
      <c r="FX41" s="925"/>
      <c r="FY41" s="925"/>
      <c r="FZ41" s="925"/>
      <c r="GA41" s="925"/>
      <c r="GB41" s="925"/>
      <c r="GC41" s="925"/>
      <c r="GD41" s="925"/>
      <c r="GE41" s="925"/>
      <c r="GF41" s="925"/>
      <c r="GG41" s="925"/>
      <c r="GH41" s="925"/>
      <c r="GI41" s="925"/>
      <c r="GJ41" s="925"/>
      <c r="GK41" s="925"/>
      <c r="GL41" s="925"/>
      <c r="GM41" s="925"/>
      <c r="GN41" s="925"/>
      <c r="GO41" s="925"/>
      <c r="GP41" s="925"/>
      <c r="GQ41" s="925"/>
      <c r="GR41" s="925"/>
      <c r="GS41" s="925"/>
      <c r="GT41" s="925"/>
      <c r="GU41" s="925"/>
      <c r="GV41" s="925"/>
      <c r="GW41" s="925"/>
      <c r="GX41" s="925"/>
      <c r="GY41" s="925"/>
      <c r="GZ41" s="925"/>
      <c r="HA41" s="925"/>
      <c r="HB41" s="925"/>
      <c r="HC41" s="925"/>
      <c r="HD41" s="925"/>
      <c r="HE41" s="925"/>
      <c r="HF41" s="925"/>
      <c r="HG41" s="925"/>
      <c r="HH41" s="925"/>
      <c r="HI41" s="925"/>
      <c r="HJ41" s="925"/>
      <c r="HK41" s="925"/>
      <c r="HL41" s="925"/>
      <c r="HM41" s="925"/>
      <c r="HN41" s="925"/>
      <c r="HO41" s="925"/>
      <c r="HP41" s="925"/>
      <c r="HQ41" s="925"/>
      <c r="HR41" s="925"/>
      <c r="HS41" s="925"/>
      <c r="HT41" s="925"/>
      <c r="HU41" s="925"/>
      <c r="HV41" s="925"/>
      <c r="HW41" s="925"/>
      <c r="HX41" s="925"/>
      <c r="HY41" s="925"/>
      <c r="HZ41" s="925"/>
      <c r="IA41" s="925"/>
      <c r="IB41" s="925"/>
      <c r="IC41" s="925"/>
      <c r="ID41" s="925"/>
      <c r="IE41" s="925"/>
      <c r="IF41" s="925"/>
      <c r="IG41" s="925"/>
      <c r="IH41" s="925"/>
      <c r="II41" s="925"/>
      <c r="IJ41" s="925"/>
      <c r="IK41" s="925"/>
      <c r="IL41" s="925"/>
      <c r="IM41" s="925"/>
      <c r="IN41" s="925"/>
      <c r="IO41" s="925"/>
      <c r="IP41" s="925"/>
      <c r="IQ41" s="925"/>
      <c r="IR41" s="925"/>
      <c r="IS41" s="925"/>
      <c r="IT41" s="925"/>
      <c r="IU41" s="925"/>
      <c r="IV41" s="925"/>
    </row>
    <row r="42" s="923" customFormat="1" ht="15" customHeight="1" spans="1:256">
      <c r="A42" s="952" t="s">
        <v>367</v>
      </c>
      <c r="B42" s="953" t="str">
        <f>IF(B39=B74,"主附表相符","主附表不相符")</f>
        <v>主附表相符</v>
      </c>
      <c r="C42" s="953" t="str">
        <f>IF(C39=C74,"主附表相符","主附表不相符")</f>
        <v>主附表相符</v>
      </c>
      <c r="D42" s="945"/>
      <c r="E42" s="934"/>
      <c r="F42" s="946"/>
      <c r="G42" s="946"/>
      <c r="H42" s="946"/>
      <c r="I42" s="925"/>
      <c r="J42" s="925"/>
      <c r="K42" s="925"/>
      <c r="L42" s="925"/>
      <c r="M42" s="925"/>
      <c r="N42" s="925"/>
      <c r="O42" s="925"/>
      <c r="P42" s="925"/>
      <c r="Q42" s="925"/>
      <c r="R42" s="925"/>
      <c r="S42" s="925"/>
      <c r="T42" s="925"/>
      <c r="U42" s="925"/>
      <c r="V42" s="925"/>
      <c r="W42" s="925"/>
      <c r="X42" s="925"/>
      <c r="Y42" s="925"/>
      <c r="Z42" s="925"/>
      <c r="AA42" s="925"/>
      <c r="AB42" s="925"/>
      <c r="AC42" s="925"/>
      <c r="AD42" s="925"/>
      <c r="AE42" s="925"/>
      <c r="AF42" s="925"/>
      <c r="AG42" s="925"/>
      <c r="AH42" s="925"/>
      <c r="AI42" s="925"/>
      <c r="AJ42" s="925"/>
      <c r="AK42" s="925"/>
      <c r="AL42" s="925"/>
      <c r="AM42" s="925"/>
      <c r="AN42" s="925"/>
      <c r="AO42" s="925"/>
      <c r="AP42" s="925"/>
      <c r="AQ42" s="925"/>
      <c r="AR42" s="925"/>
      <c r="AS42" s="925"/>
      <c r="AT42" s="925"/>
      <c r="AU42" s="925"/>
      <c r="AV42" s="925"/>
      <c r="AW42" s="925"/>
      <c r="AX42" s="925"/>
      <c r="AY42" s="925"/>
      <c r="AZ42" s="925"/>
      <c r="BA42" s="925"/>
      <c r="BB42" s="925"/>
      <c r="BC42" s="925"/>
      <c r="BD42" s="925"/>
      <c r="BE42" s="925"/>
      <c r="BF42" s="925"/>
      <c r="BG42" s="925"/>
      <c r="BH42" s="925"/>
      <c r="BI42" s="925"/>
      <c r="BJ42" s="925"/>
      <c r="BK42" s="925"/>
      <c r="BL42" s="925"/>
      <c r="BM42" s="925"/>
      <c r="BN42" s="925"/>
      <c r="BO42" s="925"/>
      <c r="BP42" s="925"/>
      <c r="BQ42" s="925"/>
      <c r="BR42" s="925"/>
      <c r="BS42" s="925"/>
      <c r="BT42" s="925"/>
      <c r="BU42" s="925"/>
      <c r="BV42" s="925"/>
      <c r="BW42" s="925"/>
      <c r="BX42" s="925"/>
      <c r="BY42" s="925"/>
      <c r="BZ42" s="925"/>
      <c r="CA42" s="925"/>
      <c r="CB42" s="925"/>
      <c r="CC42" s="925"/>
      <c r="CD42" s="925"/>
      <c r="CE42" s="925"/>
      <c r="CF42" s="925"/>
      <c r="CG42" s="925"/>
      <c r="CH42" s="925"/>
      <c r="CI42" s="925"/>
      <c r="CJ42" s="925"/>
      <c r="CK42" s="925"/>
      <c r="CL42" s="925"/>
      <c r="CM42" s="925"/>
      <c r="CN42" s="925"/>
      <c r="CO42" s="925"/>
      <c r="CP42" s="925"/>
      <c r="CQ42" s="925"/>
      <c r="CR42" s="925"/>
      <c r="CS42" s="925"/>
      <c r="CT42" s="925"/>
      <c r="CU42" s="925"/>
      <c r="CV42" s="925"/>
      <c r="CW42" s="925"/>
      <c r="CX42" s="925"/>
      <c r="CY42" s="925"/>
      <c r="CZ42" s="925"/>
      <c r="DA42" s="925"/>
      <c r="DB42" s="925"/>
      <c r="DC42" s="925"/>
      <c r="DD42" s="925"/>
      <c r="DE42" s="925"/>
      <c r="DF42" s="925"/>
      <c r="DG42" s="925"/>
      <c r="DH42" s="925"/>
      <c r="DI42" s="925"/>
      <c r="DJ42" s="925"/>
      <c r="DK42" s="925"/>
      <c r="DL42" s="925"/>
      <c r="DM42" s="925"/>
      <c r="DN42" s="925"/>
      <c r="DO42" s="925"/>
      <c r="DP42" s="925"/>
      <c r="DQ42" s="925"/>
      <c r="DR42" s="925"/>
      <c r="DS42" s="925"/>
      <c r="DT42" s="925"/>
      <c r="DU42" s="925"/>
      <c r="DV42" s="925"/>
      <c r="DW42" s="925"/>
      <c r="DX42" s="925"/>
      <c r="DY42" s="925"/>
      <c r="DZ42" s="925"/>
      <c r="EA42" s="925"/>
      <c r="EB42" s="925"/>
      <c r="EC42" s="925"/>
      <c r="ED42" s="925"/>
      <c r="EE42" s="925"/>
      <c r="EF42" s="925"/>
      <c r="EG42" s="925"/>
      <c r="EH42" s="925"/>
      <c r="EI42" s="925"/>
      <c r="EJ42" s="925"/>
      <c r="EK42" s="925"/>
      <c r="EL42" s="925"/>
      <c r="EM42" s="925"/>
      <c r="EN42" s="925"/>
      <c r="EO42" s="925"/>
      <c r="EP42" s="925"/>
      <c r="EQ42" s="925"/>
      <c r="ER42" s="925"/>
      <c r="ES42" s="925"/>
      <c r="ET42" s="925"/>
      <c r="EU42" s="925"/>
      <c r="EV42" s="925"/>
      <c r="EW42" s="925"/>
      <c r="EX42" s="925"/>
      <c r="EY42" s="925"/>
      <c r="EZ42" s="925"/>
      <c r="FA42" s="925"/>
      <c r="FB42" s="925"/>
      <c r="FC42" s="925"/>
      <c r="FD42" s="925"/>
      <c r="FE42" s="925"/>
      <c r="FF42" s="925"/>
      <c r="FG42" s="925"/>
      <c r="FH42" s="925"/>
      <c r="FI42" s="925"/>
      <c r="FJ42" s="925"/>
      <c r="FK42" s="925"/>
      <c r="FL42" s="925"/>
      <c r="FM42" s="925"/>
      <c r="FN42" s="925"/>
      <c r="FO42" s="925"/>
      <c r="FP42" s="925"/>
      <c r="FQ42" s="925"/>
      <c r="FR42" s="925"/>
      <c r="FS42" s="925"/>
      <c r="FT42" s="925"/>
      <c r="FU42" s="925"/>
      <c r="FV42" s="925"/>
      <c r="FW42" s="925"/>
      <c r="FX42" s="925"/>
      <c r="FY42" s="925"/>
      <c r="FZ42" s="925"/>
      <c r="GA42" s="925"/>
      <c r="GB42" s="925"/>
      <c r="GC42" s="925"/>
      <c r="GD42" s="925"/>
      <c r="GE42" s="925"/>
      <c r="GF42" s="925"/>
      <c r="GG42" s="925"/>
      <c r="GH42" s="925"/>
      <c r="GI42" s="925"/>
      <c r="GJ42" s="925"/>
      <c r="GK42" s="925"/>
      <c r="GL42" s="925"/>
      <c r="GM42" s="925"/>
      <c r="GN42" s="925"/>
      <c r="GO42" s="925"/>
      <c r="GP42" s="925"/>
      <c r="GQ42" s="925"/>
      <c r="GR42" s="925"/>
      <c r="GS42" s="925"/>
      <c r="GT42" s="925"/>
      <c r="GU42" s="925"/>
      <c r="GV42" s="925"/>
      <c r="GW42" s="925"/>
      <c r="GX42" s="925"/>
      <c r="GY42" s="925"/>
      <c r="GZ42" s="925"/>
      <c r="HA42" s="925"/>
      <c r="HB42" s="925"/>
      <c r="HC42" s="925"/>
      <c r="HD42" s="925"/>
      <c r="HE42" s="925"/>
      <c r="HF42" s="925"/>
      <c r="HG42" s="925"/>
      <c r="HH42" s="925"/>
      <c r="HI42" s="925"/>
      <c r="HJ42" s="925"/>
      <c r="HK42" s="925"/>
      <c r="HL42" s="925"/>
      <c r="HM42" s="925"/>
      <c r="HN42" s="925"/>
      <c r="HO42" s="925"/>
      <c r="HP42" s="925"/>
      <c r="HQ42" s="925"/>
      <c r="HR42" s="925"/>
      <c r="HS42" s="925"/>
      <c r="HT42" s="925"/>
      <c r="HU42" s="925"/>
      <c r="HV42" s="925"/>
      <c r="HW42" s="925"/>
      <c r="HX42" s="925"/>
      <c r="HY42" s="925"/>
      <c r="HZ42" s="925"/>
      <c r="IA42" s="925"/>
      <c r="IB42" s="925"/>
      <c r="IC42" s="925"/>
      <c r="ID42" s="925"/>
      <c r="IE42" s="925"/>
      <c r="IF42" s="925"/>
      <c r="IG42" s="925"/>
      <c r="IH42" s="925"/>
      <c r="II42" s="925"/>
      <c r="IJ42" s="925"/>
      <c r="IK42" s="925"/>
      <c r="IL42" s="925"/>
      <c r="IM42" s="925"/>
      <c r="IN42" s="925"/>
      <c r="IO42" s="925"/>
      <c r="IP42" s="925"/>
      <c r="IQ42" s="925"/>
      <c r="IR42" s="925"/>
      <c r="IS42" s="925"/>
      <c r="IT42" s="925"/>
      <c r="IU42" s="925"/>
      <c r="IV42" s="925"/>
    </row>
    <row r="43" s="923" customFormat="1" ht="15" customHeight="1" spans="1:256">
      <c r="A43" s="954" t="str">
        <f>"本年评价结论:"&amp;IF(AND(B14&gt;0,B27&lt;=0,B37&gt;0),H5,IF(AND(B14&gt;0,B27&lt;=0,B37&lt;=0),H9,IF(AND(B14&gt;0,B27&gt;0,B37&gt;0),H11,IF(AND(B14&gt;0,B27&gt;0,B37&lt;=0),H13,IF(AND(B14&lt;=0,B27&lt;=0,B37&gt;0),H16,IF(AND(B14&lt;=0,B27&lt;=0,B37&lt;=0),H20,IF(AND(B14&lt;=0,B27&gt;0,B37&gt;0),H23,H26)))))))</f>
        <v>本年评价结论:表明企业进入成熟期。在这个阶段产品销售市场稳定，已进入投资回收期，经营及投资进入良性循环，财务状况稳定安全，但很多外部资金需要偿还，以保持企业良好的资信程度。</v>
      </c>
      <c r="B43" s="954"/>
      <c r="C43" s="954"/>
      <c r="D43" s="955"/>
      <c r="E43" s="955"/>
      <c r="F43" s="955"/>
      <c r="G43" s="955"/>
      <c r="H43" s="955"/>
      <c r="I43" s="925"/>
      <c r="J43" s="925"/>
      <c r="K43" s="925"/>
      <c r="L43" s="925"/>
      <c r="M43" s="925"/>
      <c r="N43" s="925"/>
      <c r="O43" s="925"/>
      <c r="P43" s="925"/>
      <c r="Q43" s="925"/>
      <c r="R43" s="925"/>
      <c r="S43" s="925"/>
      <c r="T43" s="925"/>
      <c r="U43" s="925"/>
      <c r="V43" s="925"/>
      <c r="W43" s="925"/>
      <c r="X43" s="925"/>
      <c r="Y43" s="925"/>
      <c r="Z43" s="925"/>
      <c r="AA43" s="925"/>
      <c r="AB43" s="925"/>
      <c r="AC43" s="925"/>
      <c r="AD43" s="925"/>
      <c r="AE43" s="925"/>
      <c r="AF43" s="925"/>
      <c r="AG43" s="925"/>
      <c r="AH43" s="925"/>
      <c r="AI43" s="925"/>
      <c r="AJ43" s="925"/>
      <c r="AK43" s="925"/>
      <c r="AL43" s="925"/>
      <c r="AM43" s="925"/>
      <c r="AN43" s="925"/>
      <c r="AO43" s="925"/>
      <c r="AP43" s="925"/>
      <c r="AQ43" s="925"/>
      <c r="AR43" s="925"/>
      <c r="AS43" s="925"/>
      <c r="AT43" s="925"/>
      <c r="AU43" s="925"/>
      <c r="AV43" s="925"/>
      <c r="AW43" s="925"/>
      <c r="AX43" s="925"/>
      <c r="AY43" s="925"/>
      <c r="AZ43" s="925"/>
      <c r="BA43" s="925"/>
      <c r="BB43" s="925"/>
      <c r="BC43" s="925"/>
      <c r="BD43" s="925"/>
      <c r="BE43" s="925"/>
      <c r="BF43" s="925"/>
      <c r="BG43" s="925"/>
      <c r="BH43" s="925"/>
      <c r="BI43" s="925"/>
      <c r="BJ43" s="925"/>
      <c r="BK43" s="925"/>
      <c r="BL43" s="925"/>
      <c r="BM43" s="925"/>
      <c r="BN43" s="925"/>
      <c r="BO43" s="925"/>
      <c r="BP43" s="925"/>
      <c r="BQ43" s="925"/>
      <c r="BR43" s="925"/>
      <c r="BS43" s="925"/>
      <c r="BT43" s="925"/>
      <c r="BU43" s="925"/>
      <c r="BV43" s="925"/>
      <c r="BW43" s="925"/>
      <c r="BX43" s="925"/>
      <c r="BY43" s="925"/>
      <c r="BZ43" s="925"/>
      <c r="CA43" s="925"/>
      <c r="CB43" s="925"/>
      <c r="CC43" s="925"/>
      <c r="CD43" s="925"/>
      <c r="CE43" s="925"/>
      <c r="CF43" s="925"/>
      <c r="CG43" s="925"/>
      <c r="CH43" s="925"/>
      <c r="CI43" s="925"/>
      <c r="CJ43" s="925"/>
      <c r="CK43" s="925"/>
      <c r="CL43" s="925"/>
      <c r="CM43" s="925"/>
      <c r="CN43" s="925"/>
      <c r="CO43" s="925"/>
      <c r="CP43" s="925"/>
      <c r="CQ43" s="925"/>
      <c r="CR43" s="925"/>
      <c r="CS43" s="925"/>
      <c r="CT43" s="925"/>
      <c r="CU43" s="925"/>
      <c r="CV43" s="925"/>
      <c r="CW43" s="925"/>
      <c r="CX43" s="925"/>
      <c r="CY43" s="925"/>
      <c r="CZ43" s="925"/>
      <c r="DA43" s="925"/>
      <c r="DB43" s="925"/>
      <c r="DC43" s="925"/>
      <c r="DD43" s="925"/>
      <c r="DE43" s="925"/>
      <c r="DF43" s="925"/>
      <c r="DG43" s="925"/>
      <c r="DH43" s="925"/>
      <c r="DI43" s="925"/>
      <c r="DJ43" s="925"/>
      <c r="DK43" s="925"/>
      <c r="DL43" s="925"/>
      <c r="DM43" s="925"/>
      <c r="DN43" s="925"/>
      <c r="DO43" s="925"/>
      <c r="DP43" s="925"/>
      <c r="DQ43" s="925"/>
      <c r="DR43" s="925"/>
      <c r="DS43" s="925"/>
      <c r="DT43" s="925"/>
      <c r="DU43" s="925"/>
      <c r="DV43" s="925"/>
      <c r="DW43" s="925"/>
      <c r="DX43" s="925"/>
      <c r="DY43" s="925"/>
      <c r="DZ43" s="925"/>
      <c r="EA43" s="925"/>
      <c r="EB43" s="925"/>
      <c r="EC43" s="925"/>
      <c r="ED43" s="925"/>
      <c r="EE43" s="925"/>
      <c r="EF43" s="925"/>
      <c r="EG43" s="925"/>
      <c r="EH43" s="925"/>
      <c r="EI43" s="925"/>
      <c r="EJ43" s="925"/>
      <c r="EK43" s="925"/>
      <c r="EL43" s="925"/>
      <c r="EM43" s="925"/>
      <c r="EN43" s="925"/>
      <c r="EO43" s="925"/>
      <c r="EP43" s="925"/>
      <c r="EQ43" s="925"/>
      <c r="ER43" s="925"/>
      <c r="ES43" s="925"/>
      <c r="ET43" s="925"/>
      <c r="EU43" s="925"/>
      <c r="EV43" s="925"/>
      <c r="EW43" s="925"/>
      <c r="EX43" s="925"/>
      <c r="EY43" s="925"/>
      <c r="EZ43" s="925"/>
      <c r="FA43" s="925"/>
      <c r="FB43" s="925"/>
      <c r="FC43" s="925"/>
      <c r="FD43" s="925"/>
      <c r="FE43" s="925"/>
      <c r="FF43" s="925"/>
      <c r="FG43" s="925"/>
      <c r="FH43" s="925"/>
      <c r="FI43" s="925"/>
      <c r="FJ43" s="925"/>
      <c r="FK43" s="925"/>
      <c r="FL43" s="925"/>
      <c r="FM43" s="925"/>
      <c r="FN43" s="925"/>
      <c r="FO43" s="925"/>
      <c r="FP43" s="925"/>
      <c r="FQ43" s="925"/>
      <c r="FR43" s="925"/>
      <c r="FS43" s="925"/>
      <c r="FT43" s="925"/>
      <c r="FU43" s="925"/>
      <c r="FV43" s="925"/>
      <c r="FW43" s="925"/>
      <c r="FX43" s="925"/>
      <c r="FY43" s="925"/>
      <c r="FZ43" s="925"/>
      <c r="GA43" s="925"/>
      <c r="GB43" s="925"/>
      <c r="GC43" s="925"/>
      <c r="GD43" s="925"/>
      <c r="GE43" s="925"/>
      <c r="GF43" s="925"/>
      <c r="GG43" s="925"/>
      <c r="GH43" s="925"/>
      <c r="GI43" s="925"/>
      <c r="GJ43" s="925"/>
      <c r="GK43" s="925"/>
      <c r="GL43" s="925"/>
      <c r="GM43" s="925"/>
      <c r="GN43" s="925"/>
      <c r="GO43" s="925"/>
      <c r="GP43" s="925"/>
      <c r="GQ43" s="925"/>
      <c r="GR43" s="925"/>
      <c r="GS43" s="925"/>
      <c r="GT43" s="925"/>
      <c r="GU43" s="925"/>
      <c r="GV43" s="925"/>
      <c r="GW43" s="925"/>
      <c r="GX43" s="925"/>
      <c r="GY43" s="925"/>
      <c r="GZ43" s="925"/>
      <c r="HA43" s="925"/>
      <c r="HB43" s="925"/>
      <c r="HC43" s="925"/>
      <c r="HD43" s="925"/>
      <c r="HE43" s="925"/>
      <c r="HF43" s="925"/>
      <c r="HG43" s="925"/>
      <c r="HH43" s="925"/>
      <c r="HI43" s="925"/>
      <c r="HJ43" s="925"/>
      <c r="HK43" s="925"/>
      <c r="HL43" s="925"/>
      <c r="HM43" s="925"/>
      <c r="HN43" s="925"/>
      <c r="HO43" s="925"/>
      <c r="HP43" s="925"/>
      <c r="HQ43" s="925"/>
      <c r="HR43" s="925"/>
      <c r="HS43" s="925"/>
      <c r="HT43" s="925"/>
      <c r="HU43" s="925"/>
      <c r="HV43" s="925"/>
      <c r="HW43" s="925"/>
      <c r="HX43" s="925"/>
      <c r="HY43" s="925"/>
      <c r="HZ43" s="925"/>
      <c r="IA43" s="925"/>
      <c r="IB43" s="925"/>
      <c r="IC43" s="925"/>
      <c r="ID43" s="925"/>
      <c r="IE43" s="925"/>
      <c r="IF43" s="925"/>
      <c r="IG43" s="925"/>
      <c r="IH43" s="925"/>
      <c r="II43" s="925"/>
      <c r="IJ43" s="925"/>
      <c r="IK43" s="925"/>
      <c r="IL43" s="925"/>
      <c r="IM43" s="925"/>
      <c r="IN43" s="925"/>
      <c r="IO43" s="925"/>
      <c r="IP43" s="925"/>
      <c r="IQ43" s="925"/>
      <c r="IR43" s="925"/>
      <c r="IS43" s="925"/>
      <c r="IT43" s="925"/>
      <c r="IU43" s="925"/>
      <c r="IV43" s="925"/>
    </row>
    <row r="44" s="923" customFormat="1" ht="15" customHeight="1" spans="1:256">
      <c r="A44" s="954"/>
      <c r="B44" s="954"/>
      <c r="C44" s="954"/>
      <c r="D44" s="955"/>
      <c r="E44" s="955"/>
      <c r="F44" s="955"/>
      <c r="G44" s="955"/>
      <c r="H44" s="955"/>
      <c r="I44" s="925"/>
      <c r="J44" s="925"/>
      <c r="K44" s="925"/>
      <c r="L44" s="925"/>
      <c r="M44" s="925"/>
      <c r="N44" s="925"/>
      <c r="O44" s="925"/>
      <c r="P44" s="925"/>
      <c r="Q44" s="925"/>
      <c r="R44" s="925"/>
      <c r="S44" s="925"/>
      <c r="T44" s="925"/>
      <c r="U44" s="925"/>
      <c r="V44" s="925"/>
      <c r="W44" s="925"/>
      <c r="X44" s="925"/>
      <c r="Y44" s="925"/>
      <c r="Z44" s="925"/>
      <c r="AA44" s="925"/>
      <c r="AB44" s="925"/>
      <c r="AC44" s="925"/>
      <c r="AD44" s="925"/>
      <c r="AE44" s="925"/>
      <c r="AF44" s="925"/>
      <c r="AG44" s="925"/>
      <c r="AH44" s="925"/>
      <c r="AI44" s="925"/>
      <c r="AJ44" s="925"/>
      <c r="AK44" s="925"/>
      <c r="AL44" s="925"/>
      <c r="AM44" s="925"/>
      <c r="AN44" s="925"/>
      <c r="AO44" s="925"/>
      <c r="AP44" s="925"/>
      <c r="AQ44" s="925"/>
      <c r="AR44" s="925"/>
      <c r="AS44" s="925"/>
      <c r="AT44" s="925"/>
      <c r="AU44" s="925"/>
      <c r="AV44" s="925"/>
      <c r="AW44" s="925"/>
      <c r="AX44" s="925"/>
      <c r="AY44" s="925"/>
      <c r="AZ44" s="925"/>
      <c r="BA44" s="925"/>
      <c r="BB44" s="925"/>
      <c r="BC44" s="925"/>
      <c r="BD44" s="925"/>
      <c r="BE44" s="925"/>
      <c r="BF44" s="925"/>
      <c r="BG44" s="925"/>
      <c r="BH44" s="925"/>
      <c r="BI44" s="925"/>
      <c r="BJ44" s="925"/>
      <c r="BK44" s="925"/>
      <c r="BL44" s="925"/>
      <c r="BM44" s="925"/>
      <c r="BN44" s="925"/>
      <c r="BO44" s="925"/>
      <c r="BP44" s="925"/>
      <c r="BQ44" s="925"/>
      <c r="BR44" s="925"/>
      <c r="BS44" s="925"/>
      <c r="BT44" s="925"/>
      <c r="BU44" s="925"/>
      <c r="BV44" s="925"/>
      <c r="BW44" s="925"/>
      <c r="BX44" s="925"/>
      <c r="BY44" s="925"/>
      <c r="BZ44" s="925"/>
      <c r="CA44" s="925"/>
      <c r="CB44" s="925"/>
      <c r="CC44" s="925"/>
      <c r="CD44" s="925"/>
      <c r="CE44" s="925"/>
      <c r="CF44" s="925"/>
      <c r="CG44" s="925"/>
      <c r="CH44" s="925"/>
      <c r="CI44" s="925"/>
      <c r="CJ44" s="925"/>
      <c r="CK44" s="925"/>
      <c r="CL44" s="925"/>
      <c r="CM44" s="925"/>
      <c r="CN44" s="925"/>
      <c r="CO44" s="925"/>
      <c r="CP44" s="925"/>
      <c r="CQ44" s="925"/>
      <c r="CR44" s="925"/>
      <c r="CS44" s="925"/>
      <c r="CT44" s="925"/>
      <c r="CU44" s="925"/>
      <c r="CV44" s="925"/>
      <c r="CW44" s="925"/>
      <c r="CX44" s="925"/>
      <c r="CY44" s="925"/>
      <c r="CZ44" s="925"/>
      <c r="DA44" s="925"/>
      <c r="DB44" s="925"/>
      <c r="DC44" s="925"/>
      <c r="DD44" s="925"/>
      <c r="DE44" s="925"/>
      <c r="DF44" s="925"/>
      <c r="DG44" s="925"/>
      <c r="DH44" s="925"/>
      <c r="DI44" s="925"/>
      <c r="DJ44" s="925"/>
      <c r="DK44" s="925"/>
      <c r="DL44" s="925"/>
      <c r="DM44" s="925"/>
      <c r="DN44" s="925"/>
      <c r="DO44" s="925"/>
      <c r="DP44" s="925"/>
      <c r="DQ44" s="925"/>
      <c r="DR44" s="925"/>
      <c r="DS44" s="925"/>
      <c r="DT44" s="925"/>
      <c r="DU44" s="925"/>
      <c r="DV44" s="925"/>
      <c r="DW44" s="925"/>
      <c r="DX44" s="925"/>
      <c r="DY44" s="925"/>
      <c r="DZ44" s="925"/>
      <c r="EA44" s="925"/>
      <c r="EB44" s="925"/>
      <c r="EC44" s="925"/>
      <c r="ED44" s="925"/>
      <c r="EE44" s="925"/>
      <c r="EF44" s="925"/>
      <c r="EG44" s="925"/>
      <c r="EH44" s="925"/>
      <c r="EI44" s="925"/>
      <c r="EJ44" s="925"/>
      <c r="EK44" s="925"/>
      <c r="EL44" s="925"/>
      <c r="EM44" s="925"/>
      <c r="EN44" s="925"/>
      <c r="EO44" s="925"/>
      <c r="EP44" s="925"/>
      <c r="EQ44" s="925"/>
      <c r="ER44" s="925"/>
      <c r="ES44" s="925"/>
      <c r="ET44" s="925"/>
      <c r="EU44" s="925"/>
      <c r="EV44" s="925"/>
      <c r="EW44" s="925"/>
      <c r="EX44" s="925"/>
      <c r="EY44" s="925"/>
      <c r="EZ44" s="925"/>
      <c r="FA44" s="925"/>
      <c r="FB44" s="925"/>
      <c r="FC44" s="925"/>
      <c r="FD44" s="925"/>
      <c r="FE44" s="925"/>
      <c r="FF44" s="925"/>
      <c r="FG44" s="925"/>
      <c r="FH44" s="925"/>
      <c r="FI44" s="925"/>
      <c r="FJ44" s="925"/>
      <c r="FK44" s="925"/>
      <c r="FL44" s="925"/>
      <c r="FM44" s="925"/>
      <c r="FN44" s="925"/>
      <c r="FO44" s="925"/>
      <c r="FP44" s="925"/>
      <c r="FQ44" s="925"/>
      <c r="FR44" s="925"/>
      <c r="FS44" s="925"/>
      <c r="FT44" s="925"/>
      <c r="FU44" s="925"/>
      <c r="FV44" s="925"/>
      <c r="FW44" s="925"/>
      <c r="FX44" s="925"/>
      <c r="FY44" s="925"/>
      <c r="FZ44" s="925"/>
      <c r="GA44" s="925"/>
      <c r="GB44" s="925"/>
      <c r="GC44" s="925"/>
      <c r="GD44" s="925"/>
      <c r="GE44" s="925"/>
      <c r="GF44" s="925"/>
      <c r="GG44" s="925"/>
      <c r="GH44" s="925"/>
      <c r="GI44" s="925"/>
      <c r="GJ44" s="925"/>
      <c r="GK44" s="925"/>
      <c r="GL44" s="925"/>
      <c r="GM44" s="925"/>
      <c r="GN44" s="925"/>
      <c r="GO44" s="925"/>
      <c r="GP44" s="925"/>
      <c r="GQ44" s="925"/>
      <c r="GR44" s="925"/>
      <c r="GS44" s="925"/>
      <c r="GT44" s="925"/>
      <c r="GU44" s="925"/>
      <c r="GV44" s="925"/>
      <c r="GW44" s="925"/>
      <c r="GX44" s="925"/>
      <c r="GY44" s="925"/>
      <c r="GZ44" s="925"/>
      <c r="HA44" s="925"/>
      <c r="HB44" s="925"/>
      <c r="HC44" s="925"/>
      <c r="HD44" s="925"/>
      <c r="HE44" s="925"/>
      <c r="HF44" s="925"/>
      <c r="HG44" s="925"/>
      <c r="HH44" s="925"/>
      <c r="HI44" s="925"/>
      <c r="HJ44" s="925"/>
      <c r="HK44" s="925"/>
      <c r="HL44" s="925"/>
      <c r="HM44" s="925"/>
      <c r="HN44" s="925"/>
      <c r="HO44" s="925"/>
      <c r="HP44" s="925"/>
      <c r="HQ44" s="925"/>
      <c r="HR44" s="925"/>
      <c r="HS44" s="925"/>
      <c r="HT44" s="925"/>
      <c r="HU44" s="925"/>
      <c r="HV44" s="925"/>
      <c r="HW44" s="925"/>
      <c r="HX44" s="925"/>
      <c r="HY44" s="925"/>
      <c r="HZ44" s="925"/>
      <c r="IA44" s="925"/>
      <c r="IB44" s="925"/>
      <c r="IC44" s="925"/>
      <c r="ID44" s="925"/>
      <c r="IE44" s="925"/>
      <c r="IF44" s="925"/>
      <c r="IG44" s="925"/>
      <c r="IH44" s="925"/>
      <c r="II44" s="925"/>
      <c r="IJ44" s="925"/>
      <c r="IK44" s="925"/>
      <c r="IL44" s="925"/>
      <c r="IM44" s="925"/>
      <c r="IN44" s="925"/>
      <c r="IO44" s="925"/>
      <c r="IP44" s="925"/>
      <c r="IQ44" s="925"/>
      <c r="IR44" s="925"/>
      <c r="IS44" s="925"/>
      <c r="IT44" s="925"/>
      <c r="IU44" s="925"/>
      <c r="IV44" s="925"/>
    </row>
    <row r="45" s="923" customFormat="1" ht="15" customHeight="1" spans="1:256">
      <c r="A45" s="954"/>
      <c r="B45" s="954"/>
      <c r="C45" s="954"/>
      <c r="D45" s="955"/>
      <c r="E45" s="955"/>
      <c r="F45" s="955"/>
      <c r="G45" s="955"/>
      <c r="H45" s="955"/>
      <c r="I45" s="925"/>
      <c r="J45" s="925"/>
      <c r="K45" s="925"/>
      <c r="L45" s="925"/>
      <c r="M45" s="925"/>
      <c r="N45" s="925"/>
      <c r="O45" s="925"/>
      <c r="P45" s="925"/>
      <c r="Q45" s="925"/>
      <c r="R45" s="925"/>
      <c r="S45" s="925"/>
      <c r="T45" s="925"/>
      <c r="U45" s="925"/>
      <c r="V45" s="925"/>
      <c r="W45" s="925"/>
      <c r="X45" s="925"/>
      <c r="Y45" s="925"/>
      <c r="Z45" s="925"/>
      <c r="AA45" s="925"/>
      <c r="AB45" s="925"/>
      <c r="AC45" s="925"/>
      <c r="AD45" s="925"/>
      <c r="AE45" s="925"/>
      <c r="AF45" s="925"/>
      <c r="AG45" s="925"/>
      <c r="AH45" s="925"/>
      <c r="AI45" s="925"/>
      <c r="AJ45" s="925"/>
      <c r="AK45" s="925"/>
      <c r="AL45" s="925"/>
      <c r="AM45" s="925"/>
      <c r="AN45" s="925"/>
      <c r="AO45" s="925"/>
      <c r="AP45" s="925"/>
      <c r="AQ45" s="925"/>
      <c r="AR45" s="925"/>
      <c r="AS45" s="925"/>
      <c r="AT45" s="925"/>
      <c r="AU45" s="925"/>
      <c r="AV45" s="925"/>
      <c r="AW45" s="925"/>
      <c r="AX45" s="925"/>
      <c r="AY45" s="925"/>
      <c r="AZ45" s="925"/>
      <c r="BA45" s="925"/>
      <c r="BB45" s="925"/>
      <c r="BC45" s="925"/>
      <c r="BD45" s="925"/>
      <c r="BE45" s="925"/>
      <c r="BF45" s="925"/>
      <c r="BG45" s="925"/>
      <c r="BH45" s="925"/>
      <c r="BI45" s="925"/>
      <c r="BJ45" s="925"/>
      <c r="BK45" s="925"/>
      <c r="BL45" s="925"/>
      <c r="BM45" s="925"/>
      <c r="BN45" s="925"/>
      <c r="BO45" s="925"/>
      <c r="BP45" s="925"/>
      <c r="BQ45" s="925"/>
      <c r="BR45" s="925"/>
      <c r="BS45" s="925"/>
      <c r="BT45" s="925"/>
      <c r="BU45" s="925"/>
      <c r="BV45" s="925"/>
      <c r="BW45" s="925"/>
      <c r="BX45" s="925"/>
      <c r="BY45" s="925"/>
      <c r="BZ45" s="925"/>
      <c r="CA45" s="925"/>
      <c r="CB45" s="925"/>
      <c r="CC45" s="925"/>
      <c r="CD45" s="925"/>
      <c r="CE45" s="925"/>
      <c r="CF45" s="925"/>
      <c r="CG45" s="925"/>
      <c r="CH45" s="925"/>
      <c r="CI45" s="925"/>
      <c r="CJ45" s="925"/>
      <c r="CK45" s="925"/>
      <c r="CL45" s="925"/>
      <c r="CM45" s="925"/>
      <c r="CN45" s="925"/>
      <c r="CO45" s="925"/>
      <c r="CP45" s="925"/>
      <c r="CQ45" s="925"/>
      <c r="CR45" s="925"/>
      <c r="CS45" s="925"/>
      <c r="CT45" s="925"/>
      <c r="CU45" s="925"/>
      <c r="CV45" s="925"/>
      <c r="CW45" s="925"/>
      <c r="CX45" s="925"/>
      <c r="CY45" s="925"/>
      <c r="CZ45" s="925"/>
      <c r="DA45" s="925"/>
      <c r="DB45" s="925"/>
      <c r="DC45" s="925"/>
      <c r="DD45" s="925"/>
      <c r="DE45" s="925"/>
      <c r="DF45" s="925"/>
      <c r="DG45" s="925"/>
      <c r="DH45" s="925"/>
      <c r="DI45" s="925"/>
      <c r="DJ45" s="925"/>
      <c r="DK45" s="925"/>
      <c r="DL45" s="925"/>
      <c r="DM45" s="925"/>
      <c r="DN45" s="925"/>
      <c r="DO45" s="925"/>
      <c r="DP45" s="925"/>
      <c r="DQ45" s="925"/>
      <c r="DR45" s="925"/>
      <c r="DS45" s="925"/>
      <c r="DT45" s="925"/>
      <c r="DU45" s="925"/>
      <c r="DV45" s="925"/>
      <c r="DW45" s="925"/>
      <c r="DX45" s="925"/>
      <c r="DY45" s="925"/>
      <c r="DZ45" s="925"/>
      <c r="EA45" s="925"/>
      <c r="EB45" s="925"/>
      <c r="EC45" s="925"/>
      <c r="ED45" s="925"/>
      <c r="EE45" s="925"/>
      <c r="EF45" s="925"/>
      <c r="EG45" s="925"/>
      <c r="EH45" s="925"/>
      <c r="EI45" s="925"/>
      <c r="EJ45" s="925"/>
      <c r="EK45" s="925"/>
      <c r="EL45" s="925"/>
      <c r="EM45" s="925"/>
      <c r="EN45" s="925"/>
      <c r="EO45" s="925"/>
      <c r="EP45" s="925"/>
      <c r="EQ45" s="925"/>
      <c r="ER45" s="925"/>
      <c r="ES45" s="925"/>
      <c r="ET45" s="925"/>
      <c r="EU45" s="925"/>
      <c r="EV45" s="925"/>
      <c r="EW45" s="925"/>
      <c r="EX45" s="925"/>
      <c r="EY45" s="925"/>
      <c r="EZ45" s="925"/>
      <c r="FA45" s="925"/>
      <c r="FB45" s="925"/>
      <c r="FC45" s="925"/>
      <c r="FD45" s="925"/>
      <c r="FE45" s="925"/>
      <c r="FF45" s="925"/>
      <c r="FG45" s="925"/>
      <c r="FH45" s="925"/>
      <c r="FI45" s="925"/>
      <c r="FJ45" s="925"/>
      <c r="FK45" s="925"/>
      <c r="FL45" s="925"/>
      <c r="FM45" s="925"/>
      <c r="FN45" s="925"/>
      <c r="FO45" s="925"/>
      <c r="FP45" s="925"/>
      <c r="FQ45" s="925"/>
      <c r="FR45" s="925"/>
      <c r="FS45" s="925"/>
      <c r="FT45" s="925"/>
      <c r="FU45" s="925"/>
      <c r="FV45" s="925"/>
      <c r="FW45" s="925"/>
      <c r="FX45" s="925"/>
      <c r="FY45" s="925"/>
      <c r="FZ45" s="925"/>
      <c r="GA45" s="925"/>
      <c r="GB45" s="925"/>
      <c r="GC45" s="925"/>
      <c r="GD45" s="925"/>
      <c r="GE45" s="925"/>
      <c r="GF45" s="925"/>
      <c r="GG45" s="925"/>
      <c r="GH45" s="925"/>
      <c r="GI45" s="925"/>
      <c r="GJ45" s="925"/>
      <c r="GK45" s="925"/>
      <c r="GL45" s="925"/>
      <c r="GM45" s="925"/>
      <c r="GN45" s="925"/>
      <c r="GO45" s="925"/>
      <c r="GP45" s="925"/>
      <c r="GQ45" s="925"/>
      <c r="GR45" s="925"/>
      <c r="GS45" s="925"/>
      <c r="GT45" s="925"/>
      <c r="GU45" s="925"/>
      <c r="GV45" s="925"/>
      <c r="GW45" s="925"/>
      <c r="GX45" s="925"/>
      <c r="GY45" s="925"/>
      <c r="GZ45" s="925"/>
      <c r="HA45" s="925"/>
      <c r="HB45" s="925"/>
      <c r="HC45" s="925"/>
      <c r="HD45" s="925"/>
      <c r="HE45" s="925"/>
      <c r="HF45" s="925"/>
      <c r="HG45" s="925"/>
      <c r="HH45" s="925"/>
      <c r="HI45" s="925"/>
      <c r="HJ45" s="925"/>
      <c r="HK45" s="925"/>
      <c r="HL45" s="925"/>
      <c r="HM45" s="925"/>
      <c r="HN45" s="925"/>
      <c r="HO45" s="925"/>
      <c r="HP45" s="925"/>
      <c r="HQ45" s="925"/>
      <c r="HR45" s="925"/>
      <c r="HS45" s="925"/>
      <c r="HT45" s="925"/>
      <c r="HU45" s="925"/>
      <c r="HV45" s="925"/>
      <c r="HW45" s="925"/>
      <c r="HX45" s="925"/>
      <c r="HY45" s="925"/>
      <c r="HZ45" s="925"/>
      <c r="IA45" s="925"/>
      <c r="IB45" s="925"/>
      <c r="IC45" s="925"/>
      <c r="ID45" s="925"/>
      <c r="IE45" s="925"/>
      <c r="IF45" s="925"/>
      <c r="IG45" s="925"/>
      <c r="IH45" s="925"/>
      <c r="II45" s="925"/>
      <c r="IJ45" s="925"/>
      <c r="IK45" s="925"/>
      <c r="IL45" s="925"/>
      <c r="IM45" s="925"/>
      <c r="IN45" s="925"/>
      <c r="IO45" s="925"/>
      <c r="IP45" s="925"/>
      <c r="IQ45" s="925"/>
      <c r="IR45" s="925"/>
      <c r="IS45" s="925"/>
      <c r="IT45" s="925"/>
      <c r="IU45" s="925"/>
      <c r="IV45" s="925"/>
    </row>
    <row r="46" s="923" customFormat="1" ht="20.1" customHeight="1" spans="1:256">
      <c r="A46" s="933" t="s">
        <v>368</v>
      </c>
      <c r="B46" s="933" t="s">
        <v>169</v>
      </c>
      <c r="C46" s="933" t="s">
        <v>170</v>
      </c>
      <c r="D46" s="956" t="s">
        <v>369</v>
      </c>
      <c r="E46" s="956"/>
      <c r="F46" s="956"/>
      <c r="G46" s="956"/>
      <c r="H46" s="956"/>
      <c r="I46" s="925"/>
      <c r="J46" s="925"/>
      <c r="K46" s="925"/>
      <c r="L46" s="925"/>
      <c r="M46" s="925"/>
      <c r="N46" s="925"/>
      <c r="O46" s="925"/>
      <c r="P46" s="925"/>
      <c r="Q46" s="925"/>
      <c r="R46" s="925"/>
      <c r="S46" s="925"/>
      <c r="T46" s="925"/>
      <c r="U46" s="925"/>
      <c r="V46" s="925"/>
      <c r="W46" s="925"/>
      <c r="X46" s="925"/>
      <c r="Y46" s="925"/>
      <c r="Z46" s="925"/>
      <c r="AA46" s="925"/>
      <c r="AB46" s="925"/>
      <c r="AC46" s="925"/>
      <c r="AD46" s="925"/>
      <c r="AE46" s="925"/>
      <c r="AF46" s="925"/>
      <c r="AG46" s="925"/>
      <c r="AH46" s="925"/>
      <c r="AI46" s="925"/>
      <c r="AJ46" s="925"/>
      <c r="AK46" s="925"/>
      <c r="AL46" s="925"/>
      <c r="AM46" s="925"/>
      <c r="AN46" s="925"/>
      <c r="AO46" s="925"/>
      <c r="AP46" s="925"/>
      <c r="AQ46" s="925"/>
      <c r="AR46" s="925"/>
      <c r="AS46" s="925"/>
      <c r="AT46" s="925"/>
      <c r="AU46" s="925"/>
      <c r="AV46" s="925"/>
      <c r="AW46" s="925"/>
      <c r="AX46" s="925"/>
      <c r="AY46" s="925"/>
      <c r="AZ46" s="925"/>
      <c r="BA46" s="925"/>
      <c r="BB46" s="925"/>
      <c r="BC46" s="925"/>
      <c r="BD46" s="925"/>
      <c r="BE46" s="925"/>
      <c r="BF46" s="925"/>
      <c r="BG46" s="925"/>
      <c r="BH46" s="925"/>
      <c r="BI46" s="925"/>
      <c r="BJ46" s="925"/>
      <c r="BK46" s="925"/>
      <c r="BL46" s="925"/>
      <c r="BM46" s="925"/>
      <c r="BN46" s="925"/>
      <c r="BO46" s="925"/>
      <c r="BP46" s="925"/>
      <c r="BQ46" s="925"/>
      <c r="BR46" s="925"/>
      <c r="BS46" s="925"/>
      <c r="BT46" s="925"/>
      <c r="BU46" s="925"/>
      <c r="BV46" s="925"/>
      <c r="BW46" s="925"/>
      <c r="BX46" s="925"/>
      <c r="BY46" s="925"/>
      <c r="BZ46" s="925"/>
      <c r="CA46" s="925"/>
      <c r="CB46" s="925"/>
      <c r="CC46" s="925"/>
      <c r="CD46" s="925"/>
      <c r="CE46" s="925"/>
      <c r="CF46" s="925"/>
      <c r="CG46" s="925"/>
      <c r="CH46" s="925"/>
      <c r="CI46" s="925"/>
      <c r="CJ46" s="925"/>
      <c r="CK46" s="925"/>
      <c r="CL46" s="925"/>
      <c r="CM46" s="925"/>
      <c r="CN46" s="925"/>
      <c r="CO46" s="925"/>
      <c r="CP46" s="925"/>
      <c r="CQ46" s="925"/>
      <c r="CR46" s="925"/>
      <c r="CS46" s="925"/>
      <c r="CT46" s="925"/>
      <c r="CU46" s="925"/>
      <c r="CV46" s="925"/>
      <c r="CW46" s="925"/>
      <c r="CX46" s="925"/>
      <c r="CY46" s="925"/>
      <c r="CZ46" s="925"/>
      <c r="DA46" s="925"/>
      <c r="DB46" s="925"/>
      <c r="DC46" s="925"/>
      <c r="DD46" s="925"/>
      <c r="DE46" s="925"/>
      <c r="DF46" s="925"/>
      <c r="DG46" s="925"/>
      <c r="DH46" s="925"/>
      <c r="DI46" s="925"/>
      <c r="DJ46" s="925"/>
      <c r="DK46" s="925"/>
      <c r="DL46" s="925"/>
      <c r="DM46" s="925"/>
      <c r="DN46" s="925"/>
      <c r="DO46" s="925"/>
      <c r="DP46" s="925"/>
      <c r="DQ46" s="925"/>
      <c r="DR46" s="925"/>
      <c r="DS46" s="925"/>
      <c r="DT46" s="925"/>
      <c r="DU46" s="925"/>
      <c r="DV46" s="925"/>
      <c r="DW46" s="925"/>
      <c r="DX46" s="925"/>
      <c r="DY46" s="925"/>
      <c r="DZ46" s="925"/>
      <c r="EA46" s="925"/>
      <c r="EB46" s="925"/>
      <c r="EC46" s="925"/>
      <c r="ED46" s="925"/>
      <c r="EE46" s="925"/>
      <c r="EF46" s="925"/>
      <c r="EG46" s="925"/>
      <c r="EH46" s="925"/>
      <c r="EI46" s="925"/>
      <c r="EJ46" s="925"/>
      <c r="EK46" s="925"/>
      <c r="EL46" s="925"/>
      <c r="EM46" s="925"/>
      <c r="EN46" s="925"/>
      <c r="EO46" s="925"/>
      <c r="EP46" s="925"/>
      <c r="EQ46" s="925"/>
      <c r="ER46" s="925"/>
      <c r="ES46" s="925"/>
      <c r="ET46" s="925"/>
      <c r="EU46" s="925"/>
      <c r="EV46" s="925"/>
      <c r="EW46" s="925"/>
      <c r="EX46" s="925"/>
      <c r="EY46" s="925"/>
      <c r="EZ46" s="925"/>
      <c r="FA46" s="925"/>
      <c r="FB46" s="925"/>
      <c r="FC46" s="925"/>
      <c r="FD46" s="925"/>
      <c r="FE46" s="925"/>
      <c r="FF46" s="925"/>
      <c r="FG46" s="925"/>
      <c r="FH46" s="925"/>
      <c r="FI46" s="925"/>
      <c r="FJ46" s="925"/>
      <c r="FK46" s="925"/>
      <c r="FL46" s="925"/>
      <c r="FM46" s="925"/>
      <c r="FN46" s="925"/>
      <c r="FO46" s="925"/>
      <c r="FP46" s="925"/>
      <c r="FQ46" s="925"/>
      <c r="FR46" s="925"/>
      <c r="FS46" s="925"/>
      <c r="FT46" s="925"/>
      <c r="FU46" s="925"/>
      <c r="FV46" s="925"/>
      <c r="FW46" s="925"/>
      <c r="FX46" s="925"/>
      <c r="FY46" s="925"/>
      <c r="FZ46" s="925"/>
      <c r="GA46" s="925"/>
      <c r="GB46" s="925"/>
      <c r="GC46" s="925"/>
      <c r="GD46" s="925"/>
      <c r="GE46" s="925"/>
      <c r="GF46" s="925"/>
      <c r="GG46" s="925"/>
      <c r="GH46" s="925"/>
      <c r="GI46" s="925"/>
      <c r="GJ46" s="925"/>
      <c r="GK46" s="925"/>
      <c r="GL46" s="925"/>
      <c r="GM46" s="925"/>
      <c r="GN46" s="925"/>
      <c r="GO46" s="925"/>
      <c r="GP46" s="925"/>
      <c r="GQ46" s="925"/>
      <c r="GR46" s="925"/>
      <c r="GS46" s="925"/>
      <c r="GT46" s="925"/>
      <c r="GU46" s="925"/>
      <c r="GV46" s="925"/>
      <c r="GW46" s="925"/>
      <c r="GX46" s="925"/>
      <c r="GY46" s="925"/>
      <c r="GZ46" s="925"/>
      <c r="HA46" s="925"/>
      <c r="HB46" s="925"/>
      <c r="HC46" s="925"/>
      <c r="HD46" s="925"/>
      <c r="HE46" s="925"/>
      <c r="HF46" s="925"/>
      <c r="HG46" s="925"/>
      <c r="HH46" s="925"/>
      <c r="HI46" s="925"/>
      <c r="HJ46" s="925"/>
      <c r="HK46" s="925"/>
      <c r="HL46" s="925"/>
      <c r="HM46" s="925"/>
      <c r="HN46" s="925"/>
      <c r="HO46" s="925"/>
      <c r="HP46" s="925"/>
      <c r="HQ46" s="925"/>
      <c r="HR46" s="925"/>
      <c r="HS46" s="925"/>
      <c r="HT46" s="925"/>
      <c r="HU46" s="925"/>
      <c r="HV46" s="925"/>
      <c r="HW46" s="925"/>
      <c r="HX46" s="925"/>
      <c r="HY46" s="925"/>
      <c r="HZ46" s="925"/>
      <c r="IA46" s="925"/>
      <c r="IB46" s="925"/>
      <c r="IC46" s="925"/>
      <c r="ID46" s="925"/>
      <c r="IE46" s="925"/>
      <c r="IF46" s="925"/>
      <c r="IG46" s="925"/>
      <c r="IH46" s="925"/>
      <c r="II46" s="925"/>
      <c r="IJ46" s="925"/>
      <c r="IK46" s="925"/>
      <c r="IL46" s="925"/>
      <c r="IM46" s="925"/>
      <c r="IN46" s="925"/>
      <c r="IO46" s="925"/>
      <c r="IP46" s="925"/>
      <c r="IQ46" s="925"/>
      <c r="IR46" s="925"/>
      <c r="IS46" s="925"/>
      <c r="IT46" s="925"/>
      <c r="IU46" s="925"/>
      <c r="IV46" s="925"/>
    </row>
    <row r="47" s="923" customFormat="1" ht="20.1" customHeight="1" spans="1:256">
      <c r="A47" s="957" t="s">
        <v>370</v>
      </c>
      <c r="B47" s="958"/>
      <c r="C47" s="958"/>
      <c r="D47" s="956"/>
      <c r="E47" s="956"/>
      <c r="F47" s="956"/>
      <c r="G47" s="956"/>
      <c r="H47" s="956"/>
      <c r="I47" s="925"/>
      <c r="J47" s="925"/>
      <c r="K47" s="925"/>
      <c r="L47" s="925"/>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5"/>
      <c r="BB47" s="925"/>
      <c r="BC47" s="925"/>
      <c r="BD47" s="925"/>
      <c r="BE47" s="925"/>
      <c r="BF47" s="925"/>
      <c r="BG47" s="925"/>
      <c r="BH47" s="925"/>
      <c r="BI47" s="925"/>
      <c r="BJ47" s="925"/>
      <c r="BK47" s="925"/>
      <c r="BL47" s="925"/>
      <c r="BM47" s="925"/>
      <c r="BN47" s="925"/>
      <c r="BO47" s="925"/>
      <c r="BP47" s="925"/>
      <c r="BQ47" s="925"/>
      <c r="BR47" s="925"/>
      <c r="BS47" s="925"/>
      <c r="BT47" s="925"/>
      <c r="BU47" s="925"/>
      <c r="BV47" s="925"/>
      <c r="BW47" s="925"/>
      <c r="BX47" s="925"/>
      <c r="BY47" s="925"/>
      <c r="BZ47" s="925"/>
      <c r="CA47" s="925"/>
      <c r="CB47" s="925"/>
      <c r="CC47" s="925"/>
      <c r="CD47" s="925"/>
      <c r="CE47" s="925"/>
      <c r="CF47" s="925"/>
      <c r="CG47" s="925"/>
      <c r="CH47" s="925"/>
      <c r="CI47" s="925"/>
      <c r="CJ47" s="925"/>
      <c r="CK47" s="925"/>
      <c r="CL47" s="925"/>
      <c r="CM47" s="925"/>
      <c r="CN47" s="925"/>
      <c r="CO47" s="925"/>
      <c r="CP47" s="925"/>
      <c r="CQ47" s="925"/>
      <c r="CR47" s="925"/>
      <c r="CS47" s="925"/>
      <c r="CT47" s="925"/>
      <c r="CU47" s="925"/>
      <c r="CV47" s="925"/>
      <c r="CW47" s="925"/>
      <c r="CX47" s="925"/>
      <c r="CY47" s="925"/>
      <c r="CZ47" s="925"/>
      <c r="DA47" s="925"/>
      <c r="DB47" s="925"/>
      <c r="DC47" s="925"/>
      <c r="DD47" s="925"/>
      <c r="DE47" s="925"/>
      <c r="DF47" s="925"/>
      <c r="DG47" s="925"/>
      <c r="DH47" s="925"/>
      <c r="DI47" s="925"/>
      <c r="DJ47" s="925"/>
      <c r="DK47" s="925"/>
      <c r="DL47" s="925"/>
      <c r="DM47" s="925"/>
      <c r="DN47" s="925"/>
      <c r="DO47" s="925"/>
      <c r="DP47" s="925"/>
      <c r="DQ47" s="925"/>
      <c r="DR47" s="925"/>
      <c r="DS47" s="925"/>
      <c r="DT47" s="925"/>
      <c r="DU47" s="925"/>
      <c r="DV47" s="925"/>
      <c r="DW47" s="925"/>
      <c r="DX47" s="925"/>
      <c r="DY47" s="925"/>
      <c r="DZ47" s="925"/>
      <c r="EA47" s="925"/>
      <c r="EB47" s="925"/>
      <c r="EC47" s="925"/>
      <c r="ED47" s="925"/>
      <c r="EE47" s="925"/>
      <c r="EF47" s="925"/>
      <c r="EG47" s="925"/>
      <c r="EH47" s="925"/>
      <c r="EI47" s="925"/>
      <c r="EJ47" s="925"/>
      <c r="EK47" s="925"/>
      <c r="EL47" s="925"/>
      <c r="EM47" s="925"/>
      <c r="EN47" s="925"/>
      <c r="EO47" s="925"/>
      <c r="EP47" s="925"/>
      <c r="EQ47" s="925"/>
      <c r="ER47" s="925"/>
      <c r="ES47" s="925"/>
      <c r="ET47" s="925"/>
      <c r="EU47" s="925"/>
      <c r="EV47" s="925"/>
      <c r="EW47" s="925"/>
      <c r="EX47" s="925"/>
      <c r="EY47" s="925"/>
      <c r="EZ47" s="925"/>
      <c r="FA47" s="925"/>
      <c r="FB47" s="925"/>
      <c r="FC47" s="925"/>
      <c r="FD47" s="925"/>
      <c r="FE47" s="925"/>
      <c r="FF47" s="925"/>
      <c r="FG47" s="925"/>
      <c r="FH47" s="925"/>
      <c r="FI47" s="925"/>
      <c r="FJ47" s="925"/>
      <c r="FK47" s="925"/>
      <c r="FL47" s="925"/>
      <c r="FM47" s="925"/>
      <c r="FN47" s="925"/>
      <c r="FO47" s="925"/>
      <c r="FP47" s="925"/>
      <c r="FQ47" s="925"/>
      <c r="FR47" s="925"/>
      <c r="FS47" s="925"/>
      <c r="FT47" s="925"/>
      <c r="FU47" s="925"/>
      <c r="FV47" s="925"/>
      <c r="FW47" s="925"/>
      <c r="FX47" s="925"/>
      <c r="FY47" s="925"/>
      <c r="FZ47" s="925"/>
      <c r="GA47" s="925"/>
      <c r="GB47" s="925"/>
      <c r="GC47" s="925"/>
      <c r="GD47" s="925"/>
      <c r="GE47" s="925"/>
      <c r="GF47" s="925"/>
      <c r="GG47" s="925"/>
      <c r="GH47" s="925"/>
      <c r="GI47" s="925"/>
      <c r="GJ47" s="925"/>
      <c r="GK47" s="925"/>
      <c r="GL47" s="925"/>
      <c r="GM47" s="925"/>
      <c r="GN47" s="925"/>
      <c r="GO47" s="925"/>
      <c r="GP47" s="925"/>
      <c r="GQ47" s="925"/>
      <c r="GR47" s="925"/>
      <c r="GS47" s="925"/>
      <c r="GT47" s="925"/>
      <c r="GU47" s="925"/>
      <c r="GV47" s="925"/>
      <c r="GW47" s="925"/>
      <c r="GX47" s="925"/>
      <c r="GY47" s="925"/>
      <c r="GZ47" s="925"/>
      <c r="HA47" s="925"/>
      <c r="HB47" s="925"/>
      <c r="HC47" s="925"/>
      <c r="HD47" s="925"/>
      <c r="HE47" s="925"/>
      <c r="HF47" s="925"/>
      <c r="HG47" s="925"/>
      <c r="HH47" s="925"/>
      <c r="HI47" s="925"/>
      <c r="HJ47" s="925"/>
      <c r="HK47" s="925"/>
      <c r="HL47" s="925"/>
      <c r="HM47" s="925"/>
      <c r="HN47" s="925"/>
      <c r="HO47" s="925"/>
      <c r="HP47" s="925"/>
      <c r="HQ47" s="925"/>
      <c r="HR47" s="925"/>
      <c r="HS47" s="925"/>
      <c r="HT47" s="925"/>
      <c r="HU47" s="925"/>
      <c r="HV47" s="925"/>
      <c r="HW47" s="925"/>
      <c r="HX47" s="925"/>
      <c r="HY47" s="925"/>
      <c r="HZ47" s="925"/>
      <c r="IA47" s="925"/>
      <c r="IB47" s="925"/>
      <c r="IC47" s="925"/>
      <c r="ID47" s="925"/>
      <c r="IE47" s="925"/>
      <c r="IF47" s="925"/>
      <c r="IG47" s="925"/>
      <c r="IH47" s="925"/>
      <c r="II47" s="925"/>
      <c r="IJ47" s="925"/>
      <c r="IK47" s="925"/>
      <c r="IL47" s="925"/>
      <c r="IM47" s="925"/>
      <c r="IN47" s="925"/>
      <c r="IO47" s="925"/>
      <c r="IP47" s="925"/>
      <c r="IQ47" s="925"/>
      <c r="IR47" s="925"/>
      <c r="IS47" s="925"/>
      <c r="IT47" s="925"/>
      <c r="IU47" s="925"/>
      <c r="IV47" s="925"/>
    </row>
    <row r="48" s="923" customFormat="1" ht="20.1" customHeight="1" spans="1:256">
      <c r="A48" s="959" t="s">
        <v>371</v>
      </c>
      <c r="B48" s="960">
        <f>利润表!B22</f>
        <v>0</v>
      </c>
      <c r="C48" s="960">
        <f>利润表!C22</f>
        <v>0</v>
      </c>
      <c r="D48" s="961"/>
      <c r="E48" s="961"/>
      <c r="F48" s="961"/>
      <c r="G48" s="961"/>
      <c r="H48" s="961"/>
      <c r="I48" s="925"/>
      <c r="J48" s="925"/>
      <c r="K48" s="925"/>
      <c r="L48" s="925"/>
      <c r="M48" s="925"/>
      <c r="N48" s="925"/>
      <c r="O48" s="925"/>
      <c r="P48" s="925"/>
      <c r="Q48" s="925"/>
      <c r="R48" s="925"/>
      <c r="S48" s="925"/>
      <c r="T48" s="925"/>
      <c r="U48" s="925"/>
      <c r="V48" s="925"/>
      <c r="W48" s="925"/>
      <c r="X48" s="925"/>
      <c r="Y48" s="925"/>
      <c r="Z48" s="925"/>
      <c r="AA48" s="925"/>
      <c r="AB48" s="925"/>
      <c r="AC48" s="925"/>
      <c r="AD48" s="925"/>
      <c r="AE48" s="925"/>
      <c r="AF48" s="925"/>
      <c r="AG48" s="925"/>
      <c r="AH48" s="925"/>
      <c r="AI48" s="925"/>
      <c r="AJ48" s="925"/>
      <c r="AK48" s="925"/>
      <c r="AL48" s="925"/>
      <c r="AM48" s="925"/>
      <c r="AN48" s="925"/>
      <c r="AO48" s="925"/>
      <c r="AP48" s="925"/>
      <c r="AQ48" s="925"/>
      <c r="AR48" s="925"/>
      <c r="AS48" s="925"/>
      <c r="AT48" s="925"/>
      <c r="AU48" s="925"/>
      <c r="AV48" s="925"/>
      <c r="AW48" s="925"/>
      <c r="AX48" s="925"/>
      <c r="AY48" s="925"/>
      <c r="AZ48" s="925"/>
      <c r="BA48" s="925"/>
      <c r="BB48" s="925"/>
      <c r="BC48" s="925"/>
      <c r="BD48" s="925"/>
      <c r="BE48" s="925"/>
      <c r="BF48" s="925"/>
      <c r="BG48" s="925"/>
      <c r="BH48" s="925"/>
      <c r="BI48" s="925"/>
      <c r="BJ48" s="925"/>
      <c r="BK48" s="925"/>
      <c r="BL48" s="925"/>
      <c r="BM48" s="925"/>
      <c r="BN48" s="925"/>
      <c r="BO48" s="925"/>
      <c r="BP48" s="925"/>
      <c r="BQ48" s="925"/>
      <c r="BR48" s="925"/>
      <c r="BS48" s="925"/>
      <c r="BT48" s="925"/>
      <c r="BU48" s="925"/>
      <c r="BV48" s="925"/>
      <c r="BW48" s="925"/>
      <c r="BX48" s="925"/>
      <c r="BY48" s="925"/>
      <c r="BZ48" s="925"/>
      <c r="CA48" s="925"/>
      <c r="CB48" s="925"/>
      <c r="CC48" s="925"/>
      <c r="CD48" s="925"/>
      <c r="CE48" s="925"/>
      <c r="CF48" s="925"/>
      <c r="CG48" s="925"/>
      <c r="CH48" s="925"/>
      <c r="CI48" s="925"/>
      <c r="CJ48" s="925"/>
      <c r="CK48" s="925"/>
      <c r="CL48" s="925"/>
      <c r="CM48" s="925"/>
      <c r="CN48" s="925"/>
      <c r="CO48" s="925"/>
      <c r="CP48" s="925"/>
      <c r="CQ48" s="925"/>
      <c r="CR48" s="925"/>
      <c r="CS48" s="925"/>
      <c r="CT48" s="925"/>
      <c r="CU48" s="925"/>
      <c r="CV48" s="925"/>
      <c r="CW48" s="925"/>
      <c r="CX48" s="925"/>
      <c r="CY48" s="925"/>
      <c r="CZ48" s="925"/>
      <c r="DA48" s="925"/>
      <c r="DB48" s="925"/>
      <c r="DC48" s="925"/>
      <c r="DD48" s="925"/>
      <c r="DE48" s="925"/>
      <c r="DF48" s="925"/>
      <c r="DG48" s="925"/>
      <c r="DH48" s="925"/>
      <c r="DI48" s="925"/>
      <c r="DJ48" s="925"/>
      <c r="DK48" s="925"/>
      <c r="DL48" s="925"/>
      <c r="DM48" s="925"/>
      <c r="DN48" s="925"/>
      <c r="DO48" s="925"/>
      <c r="DP48" s="925"/>
      <c r="DQ48" s="925"/>
      <c r="DR48" s="925"/>
      <c r="DS48" s="925"/>
      <c r="DT48" s="925"/>
      <c r="DU48" s="925"/>
      <c r="DV48" s="925"/>
      <c r="DW48" s="925"/>
      <c r="DX48" s="925"/>
      <c r="DY48" s="925"/>
      <c r="DZ48" s="925"/>
      <c r="EA48" s="925"/>
      <c r="EB48" s="925"/>
      <c r="EC48" s="925"/>
      <c r="ED48" s="925"/>
      <c r="EE48" s="925"/>
      <c r="EF48" s="925"/>
      <c r="EG48" s="925"/>
      <c r="EH48" s="925"/>
      <c r="EI48" s="925"/>
      <c r="EJ48" s="925"/>
      <c r="EK48" s="925"/>
      <c r="EL48" s="925"/>
      <c r="EM48" s="925"/>
      <c r="EN48" s="925"/>
      <c r="EO48" s="925"/>
      <c r="EP48" s="925"/>
      <c r="EQ48" s="925"/>
      <c r="ER48" s="925"/>
      <c r="ES48" s="925"/>
      <c r="ET48" s="925"/>
      <c r="EU48" s="925"/>
      <c r="EV48" s="925"/>
      <c r="EW48" s="925"/>
      <c r="EX48" s="925"/>
      <c r="EY48" s="925"/>
      <c r="EZ48" s="925"/>
      <c r="FA48" s="925"/>
      <c r="FB48" s="925"/>
      <c r="FC48" s="925"/>
      <c r="FD48" s="925"/>
      <c r="FE48" s="925"/>
      <c r="FF48" s="925"/>
      <c r="FG48" s="925"/>
      <c r="FH48" s="925"/>
      <c r="FI48" s="925"/>
      <c r="FJ48" s="925"/>
      <c r="FK48" s="925"/>
      <c r="FL48" s="925"/>
      <c r="FM48" s="925"/>
      <c r="FN48" s="925"/>
      <c r="FO48" s="925"/>
      <c r="FP48" s="925"/>
      <c r="FQ48" s="925"/>
      <c r="FR48" s="925"/>
      <c r="FS48" s="925"/>
      <c r="FT48" s="925"/>
      <c r="FU48" s="925"/>
      <c r="FV48" s="925"/>
      <c r="FW48" s="925"/>
      <c r="FX48" s="925"/>
      <c r="FY48" s="925"/>
      <c r="FZ48" s="925"/>
      <c r="GA48" s="925"/>
      <c r="GB48" s="925"/>
      <c r="GC48" s="925"/>
      <c r="GD48" s="925"/>
      <c r="GE48" s="925"/>
      <c r="GF48" s="925"/>
      <c r="GG48" s="925"/>
      <c r="GH48" s="925"/>
      <c r="GI48" s="925"/>
      <c r="GJ48" s="925"/>
      <c r="GK48" s="925"/>
      <c r="GL48" s="925"/>
      <c r="GM48" s="925"/>
      <c r="GN48" s="925"/>
      <c r="GO48" s="925"/>
      <c r="GP48" s="925"/>
      <c r="GQ48" s="925"/>
      <c r="GR48" s="925"/>
      <c r="GS48" s="925"/>
      <c r="GT48" s="925"/>
      <c r="GU48" s="925"/>
      <c r="GV48" s="925"/>
      <c r="GW48" s="925"/>
      <c r="GX48" s="925"/>
      <c r="GY48" s="925"/>
      <c r="GZ48" s="925"/>
      <c r="HA48" s="925"/>
      <c r="HB48" s="925"/>
      <c r="HC48" s="925"/>
      <c r="HD48" s="925"/>
      <c r="HE48" s="925"/>
      <c r="HF48" s="925"/>
      <c r="HG48" s="925"/>
      <c r="HH48" s="925"/>
      <c r="HI48" s="925"/>
      <c r="HJ48" s="925"/>
      <c r="HK48" s="925"/>
      <c r="HL48" s="925"/>
      <c r="HM48" s="925"/>
      <c r="HN48" s="925"/>
      <c r="HO48" s="925"/>
      <c r="HP48" s="925"/>
      <c r="HQ48" s="925"/>
      <c r="HR48" s="925"/>
      <c r="HS48" s="925"/>
      <c r="HT48" s="925"/>
      <c r="HU48" s="925"/>
      <c r="HV48" s="925"/>
      <c r="HW48" s="925"/>
      <c r="HX48" s="925"/>
      <c r="HY48" s="925"/>
      <c r="HZ48" s="925"/>
      <c r="IA48" s="925"/>
      <c r="IB48" s="925"/>
      <c r="IC48" s="925"/>
      <c r="ID48" s="925"/>
      <c r="IE48" s="925"/>
      <c r="IF48" s="925"/>
      <c r="IG48" s="925"/>
      <c r="IH48" s="925"/>
      <c r="II48" s="925"/>
      <c r="IJ48" s="925"/>
      <c r="IK48" s="925"/>
      <c r="IL48" s="925"/>
      <c r="IM48" s="925"/>
      <c r="IN48" s="925"/>
      <c r="IO48" s="925"/>
      <c r="IP48" s="925"/>
      <c r="IQ48" s="925"/>
      <c r="IR48" s="925"/>
      <c r="IS48" s="925"/>
      <c r="IT48" s="925"/>
      <c r="IU48" s="925"/>
      <c r="IV48" s="925"/>
    </row>
    <row r="49" s="923" customFormat="1" ht="20.1" customHeight="1" spans="1:256">
      <c r="A49" s="962" t="s">
        <v>372</v>
      </c>
      <c r="B49" s="963">
        <f>表外数据录入!C47</f>
        <v>-202.115577889447</v>
      </c>
      <c r="C49" s="964"/>
      <c r="D49" s="965" t="s">
        <v>373</v>
      </c>
      <c r="E49" s="965"/>
      <c r="F49" s="965"/>
      <c r="G49" s="965"/>
      <c r="H49" s="965"/>
      <c r="I49" s="925"/>
      <c r="J49" s="925"/>
      <c r="K49" s="925"/>
      <c r="L49" s="925"/>
      <c r="M49" s="925"/>
      <c r="N49" s="925"/>
      <c r="O49" s="925"/>
      <c r="P49" s="925"/>
      <c r="Q49" s="925"/>
      <c r="R49" s="925"/>
      <c r="S49" s="925"/>
      <c r="T49" s="925"/>
      <c r="U49" s="925"/>
      <c r="V49" s="925"/>
      <c r="W49" s="925"/>
      <c r="X49" s="925"/>
      <c r="Y49" s="925"/>
      <c r="Z49" s="925"/>
      <c r="AA49" s="925"/>
      <c r="AB49" s="925"/>
      <c r="AC49" s="925"/>
      <c r="AD49" s="925"/>
      <c r="AE49" s="925"/>
      <c r="AF49" s="925"/>
      <c r="AG49" s="925"/>
      <c r="AH49" s="925"/>
      <c r="AI49" s="925"/>
      <c r="AJ49" s="925"/>
      <c r="AK49" s="925"/>
      <c r="AL49" s="925"/>
      <c r="AM49" s="925"/>
      <c r="AN49" s="925"/>
      <c r="AO49" s="925"/>
      <c r="AP49" s="925"/>
      <c r="AQ49" s="925"/>
      <c r="AR49" s="925"/>
      <c r="AS49" s="925"/>
      <c r="AT49" s="925"/>
      <c r="AU49" s="925"/>
      <c r="AV49" s="925"/>
      <c r="AW49" s="925"/>
      <c r="AX49" s="925"/>
      <c r="AY49" s="925"/>
      <c r="AZ49" s="925"/>
      <c r="BA49" s="925"/>
      <c r="BB49" s="925"/>
      <c r="BC49" s="925"/>
      <c r="BD49" s="925"/>
      <c r="BE49" s="925"/>
      <c r="BF49" s="925"/>
      <c r="BG49" s="925"/>
      <c r="BH49" s="925"/>
      <c r="BI49" s="925"/>
      <c r="BJ49" s="925"/>
      <c r="BK49" s="925"/>
      <c r="BL49" s="925"/>
      <c r="BM49" s="925"/>
      <c r="BN49" s="925"/>
      <c r="BO49" s="925"/>
      <c r="BP49" s="925"/>
      <c r="BQ49" s="925"/>
      <c r="BR49" s="925"/>
      <c r="BS49" s="925"/>
      <c r="BT49" s="925"/>
      <c r="BU49" s="925"/>
      <c r="BV49" s="925"/>
      <c r="BW49" s="925"/>
      <c r="BX49" s="925"/>
      <c r="BY49" s="925"/>
      <c r="BZ49" s="925"/>
      <c r="CA49" s="925"/>
      <c r="CB49" s="925"/>
      <c r="CC49" s="925"/>
      <c r="CD49" s="925"/>
      <c r="CE49" s="925"/>
      <c r="CF49" s="925"/>
      <c r="CG49" s="925"/>
      <c r="CH49" s="925"/>
      <c r="CI49" s="925"/>
      <c r="CJ49" s="925"/>
      <c r="CK49" s="925"/>
      <c r="CL49" s="925"/>
      <c r="CM49" s="925"/>
      <c r="CN49" s="925"/>
      <c r="CO49" s="925"/>
      <c r="CP49" s="925"/>
      <c r="CQ49" s="925"/>
      <c r="CR49" s="925"/>
      <c r="CS49" s="925"/>
      <c r="CT49" s="925"/>
      <c r="CU49" s="925"/>
      <c r="CV49" s="925"/>
      <c r="CW49" s="925"/>
      <c r="CX49" s="925"/>
      <c r="CY49" s="925"/>
      <c r="CZ49" s="925"/>
      <c r="DA49" s="925"/>
      <c r="DB49" s="925"/>
      <c r="DC49" s="925"/>
      <c r="DD49" s="925"/>
      <c r="DE49" s="925"/>
      <c r="DF49" s="925"/>
      <c r="DG49" s="925"/>
      <c r="DH49" s="925"/>
      <c r="DI49" s="925"/>
      <c r="DJ49" s="925"/>
      <c r="DK49" s="925"/>
      <c r="DL49" s="925"/>
      <c r="DM49" s="925"/>
      <c r="DN49" s="925"/>
      <c r="DO49" s="925"/>
      <c r="DP49" s="925"/>
      <c r="DQ49" s="925"/>
      <c r="DR49" s="925"/>
      <c r="DS49" s="925"/>
      <c r="DT49" s="925"/>
      <c r="DU49" s="925"/>
      <c r="DV49" s="925"/>
      <c r="DW49" s="925"/>
      <c r="DX49" s="925"/>
      <c r="DY49" s="925"/>
      <c r="DZ49" s="925"/>
      <c r="EA49" s="925"/>
      <c r="EB49" s="925"/>
      <c r="EC49" s="925"/>
      <c r="ED49" s="925"/>
      <c r="EE49" s="925"/>
      <c r="EF49" s="925"/>
      <c r="EG49" s="925"/>
      <c r="EH49" s="925"/>
      <c r="EI49" s="925"/>
      <c r="EJ49" s="925"/>
      <c r="EK49" s="925"/>
      <c r="EL49" s="925"/>
      <c r="EM49" s="925"/>
      <c r="EN49" s="925"/>
      <c r="EO49" s="925"/>
      <c r="EP49" s="925"/>
      <c r="EQ49" s="925"/>
      <c r="ER49" s="925"/>
      <c r="ES49" s="925"/>
      <c r="ET49" s="925"/>
      <c r="EU49" s="925"/>
      <c r="EV49" s="925"/>
      <c r="EW49" s="925"/>
      <c r="EX49" s="925"/>
      <c r="EY49" s="925"/>
      <c r="EZ49" s="925"/>
      <c r="FA49" s="925"/>
      <c r="FB49" s="925"/>
      <c r="FC49" s="925"/>
      <c r="FD49" s="925"/>
      <c r="FE49" s="925"/>
      <c r="FF49" s="925"/>
      <c r="FG49" s="925"/>
      <c r="FH49" s="925"/>
      <c r="FI49" s="925"/>
      <c r="FJ49" s="925"/>
      <c r="FK49" s="925"/>
      <c r="FL49" s="925"/>
      <c r="FM49" s="925"/>
      <c r="FN49" s="925"/>
      <c r="FO49" s="925"/>
      <c r="FP49" s="925"/>
      <c r="FQ49" s="925"/>
      <c r="FR49" s="925"/>
      <c r="FS49" s="925"/>
      <c r="FT49" s="925"/>
      <c r="FU49" s="925"/>
      <c r="FV49" s="925"/>
      <c r="FW49" s="925"/>
      <c r="FX49" s="925"/>
      <c r="FY49" s="925"/>
      <c r="FZ49" s="925"/>
      <c r="GA49" s="925"/>
      <c r="GB49" s="925"/>
      <c r="GC49" s="925"/>
      <c r="GD49" s="925"/>
      <c r="GE49" s="925"/>
      <c r="GF49" s="925"/>
      <c r="GG49" s="925"/>
      <c r="GH49" s="925"/>
      <c r="GI49" s="925"/>
      <c r="GJ49" s="925"/>
      <c r="GK49" s="925"/>
      <c r="GL49" s="925"/>
      <c r="GM49" s="925"/>
      <c r="GN49" s="925"/>
      <c r="GO49" s="925"/>
      <c r="GP49" s="925"/>
      <c r="GQ49" s="925"/>
      <c r="GR49" s="925"/>
      <c r="GS49" s="925"/>
      <c r="GT49" s="925"/>
      <c r="GU49" s="925"/>
      <c r="GV49" s="925"/>
      <c r="GW49" s="925"/>
      <c r="GX49" s="925"/>
      <c r="GY49" s="925"/>
      <c r="GZ49" s="925"/>
      <c r="HA49" s="925"/>
      <c r="HB49" s="925"/>
      <c r="HC49" s="925"/>
      <c r="HD49" s="925"/>
      <c r="HE49" s="925"/>
      <c r="HF49" s="925"/>
      <c r="HG49" s="925"/>
      <c r="HH49" s="925"/>
      <c r="HI49" s="925"/>
      <c r="HJ49" s="925"/>
      <c r="HK49" s="925"/>
      <c r="HL49" s="925"/>
      <c r="HM49" s="925"/>
      <c r="HN49" s="925"/>
      <c r="HO49" s="925"/>
      <c r="HP49" s="925"/>
      <c r="HQ49" s="925"/>
      <c r="HR49" s="925"/>
      <c r="HS49" s="925"/>
      <c r="HT49" s="925"/>
      <c r="HU49" s="925"/>
      <c r="HV49" s="925"/>
      <c r="HW49" s="925"/>
      <c r="HX49" s="925"/>
      <c r="HY49" s="925"/>
      <c r="HZ49" s="925"/>
      <c r="IA49" s="925"/>
      <c r="IB49" s="925"/>
      <c r="IC49" s="925"/>
      <c r="ID49" s="925"/>
      <c r="IE49" s="925"/>
      <c r="IF49" s="925"/>
      <c r="IG49" s="925"/>
      <c r="IH49" s="925"/>
      <c r="II49" s="925"/>
      <c r="IJ49" s="925"/>
      <c r="IK49" s="925"/>
      <c r="IL49" s="925"/>
      <c r="IM49" s="925"/>
      <c r="IN49" s="925"/>
      <c r="IO49" s="925"/>
      <c r="IP49" s="925"/>
      <c r="IQ49" s="925"/>
      <c r="IR49" s="925"/>
      <c r="IS49" s="925"/>
      <c r="IT49" s="925"/>
      <c r="IU49" s="925"/>
      <c r="IV49" s="925"/>
    </row>
    <row r="50" s="923" customFormat="1" ht="20.1" customHeight="1" spans="1:256">
      <c r="A50" s="962" t="s">
        <v>374</v>
      </c>
      <c r="B50" s="963">
        <f>资产负债表!C24-资产负债表!B24+资产负债表!C23-资产负债表!B23+资产负债表!C28-资产负债表!B28+资产负债表!C29-资产负债表!B29</f>
        <v>577778</v>
      </c>
      <c r="C50" s="964"/>
      <c r="D50" s="941" t="s">
        <v>375</v>
      </c>
      <c r="E50" s="941"/>
      <c r="F50" s="941"/>
      <c r="G50" s="941"/>
      <c r="H50" s="941"/>
      <c r="I50" s="925"/>
      <c r="J50" s="925"/>
      <c r="K50" s="925"/>
      <c r="L50" s="925"/>
      <c r="M50" s="925"/>
      <c r="N50" s="925"/>
      <c r="O50" s="925"/>
      <c r="P50" s="925"/>
      <c r="Q50" s="925"/>
      <c r="R50" s="925"/>
      <c r="S50" s="925"/>
      <c r="T50" s="925"/>
      <c r="U50" s="925"/>
      <c r="V50" s="925"/>
      <c r="W50" s="925"/>
      <c r="X50" s="925"/>
      <c r="Y50" s="925"/>
      <c r="Z50" s="925"/>
      <c r="AA50" s="925"/>
      <c r="AB50" s="925"/>
      <c r="AC50" s="925"/>
      <c r="AD50" s="925"/>
      <c r="AE50" s="925"/>
      <c r="AF50" s="925"/>
      <c r="AG50" s="925"/>
      <c r="AH50" s="925"/>
      <c r="AI50" s="925"/>
      <c r="AJ50" s="925"/>
      <c r="AK50" s="925"/>
      <c r="AL50" s="925"/>
      <c r="AM50" s="925"/>
      <c r="AN50" s="925"/>
      <c r="AO50" s="925"/>
      <c r="AP50" s="925"/>
      <c r="AQ50" s="925"/>
      <c r="AR50" s="925"/>
      <c r="AS50" s="925"/>
      <c r="AT50" s="925"/>
      <c r="AU50" s="925"/>
      <c r="AV50" s="925"/>
      <c r="AW50" s="925"/>
      <c r="AX50" s="925"/>
      <c r="AY50" s="925"/>
      <c r="AZ50" s="925"/>
      <c r="BA50" s="925"/>
      <c r="BB50" s="925"/>
      <c r="BC50" s="925"/>
      <c r="BD50" s="925"/>
      <c r="BE50" s="925"/>
      <c r="BF50" s="925"/>
      <c r="BG50" s="925"/>
      <c r="BH50" s="925"/>
      <c r="BI50" s="925"/>
      <c r="BJ50" s="925"/>
      <c r="BK50" s="925"/>
      <c r="BL50" s="925"/>
      <c r="BM50" s="925"/>
      <c r="BN50" s="925"/>
      <c r="BO50" s="925"/>
      <c r="BP50" s="925"/>
      <c r="BQ50" s="925"/>
      <c r="BR50" s="925"/>
      <c r="BS50" s="925"/>
      <c r="BT50" s="925"/>
      <c r="BU50" s="925"/>
      <c r="BV50" s="925"/>
      <c r="BW50" s="925"/>
      <c r="BX50" s="925"/>
      <c r="BY50" s="925"/>
      <c r="BZ50" s="925"/>
      <c r="CA50" s="925"/>
      <c r="CB50" s="925"/>
      <c r="CC50" s="925"/>
      <c r="CD50" s="925"/>
      <c r="CE50" s="925"/>
      <c r="CF50" s="925"/>
      <c r="CG50" s="925"/>
      <c r="CH50" s="925"/>
      <c r="CI50" s="925"/>
      <c r="CJ50" s="925"/>
      <c r="CK50" s="925"/>
      <c r="CL50" s="925"/>
      <c r="CM50" s="925"/>
      <c r="CN50" s="925"/>
      <c r="CO50" s="925"/>
      <c r="CP50" s="925"/>
      <c r="CQ50" s="925"/>
      <c r="CR50" s="925"/>
      <c r="CS50" s="925"/>
      <c r="CT50" s="925"/>
      <c r="CU50" s="925"/>
      <c r="CV50" s="925"/>
      <c r="CW50" s="925"/>
      <c r="CX50" s="925"/>
      <c r="CY50" s="925"/>
      <c r="CZ50" s="925"/>
      <c r="DA50" s="925"/>
      <c r="DB50" s="925"/>
      <c r="DC50" s="925"/>
      <c r="DD50" s="925"/>
      <c r="DE50" s="925"/>
      <c r="DF50" s="925"/>
      <c r="DG50" s="925"/>
      <c r="DH50" s="925"/>
      <c r="DI50" s="925"/>
      <c r="DJ50" s="925"/>
      <c r="DK50" s="925"/>
      <c r="DL50" s="925"/>
      <c r="DM50" s="925"/>
      <c r="DN50" s="925"/>
      <c r="DO50" s="925"/>
      <c r="DP50" s="925"/>
      <c r="DQ50" s="925"/>
      <c r="DR50" s="925"/>
      <c r="DS50" s="925"/>
      <c r="DT50" s="925"/>
      <c r="DU50" s="925"/>
      <c r="DV50" s="925"/>
      <c r="DW50" s="925"/>
      <c r="DX50" s="925"/>
      <c r="DY50" s="925"/>
      <c r="DZ50" s="925"/>
      <c r="EA50" s="925"/>
      <c r="EB50" s="925"/>
      <c r="EC50" s="925"/>
      <c r="ED50" s="925"/>
      <c r="EE50" s="925"/>
      <c r="EF50" s="925"/>
      <c r="EG50" s="925"/>
      <c r="EH50" s="925"/>
      <c r="EI50" s="925"/>
      <c r="EJ50" s="925"/>
      <c r="EK50" s="925"/>
      <c r="EL50" s="925"/>
      <c r="EM50" s="925"/>
      <c r="EN50" s="925"/>
      <c r="EO50" s="925"/>
      <c r="EP50" s="925"/>
      <c r="EQ50" s="925"/>
      <c r="ER50" s="925"/>
      <c r="ES50" s="925"/>
      <c r="ET50" s="925"/>
      <c r="EU50" s="925"/>
      <c r="EV50" s="925"/>
      <c r="EW50" s="925"/>
      <c r="EX50" s="925"/>
      <c r="EY50" s="925"/>
      <c r="EZ50" s="925"/>
      <c r="FA50" s="925"/>
      <c r="FB50" s="925"/>
      <c r="FC50" s="925"/>
      <c r="FD50" s="925"/>
      <c r="FE50" s="925"/>
      <c r="FF50" s="925"/>
      <c r="FG50" s="925"/>
      <c r="FH50" s="925"/>
      <c r="FI50" s="925"/>
      <c r="FJ50" s="925"/>
      <c r="FK50" s="925"/>
      <c r="FL50" s="925"/>
      <c r="FM50" s="925"/>
      <c r="FN50" s="925"/>
      <c r="FO50" s="925"/>
      <c r="FP50" s="925"/>
      <c r="FQ50" s="925"/>
      <c r="FR50" s="925"/>
      <c r="FS50" s="925"/>
      <c r="FT50" s="925"/>
      <c r="FU50" s="925"/>
      <c r="FV50" s="925"/>
      <c r="FW50" s="925"/>
      <c r="FX50" s="925"/>
      <c r="FY50" s="925"/>
      <c r="FZ50" s="925"/>
      <c r="GA50" s="925"/>
      <c r="GB50" s="925"/>
      <c r="GC50" s="925"/>
      <c r="GD50" s="925"/>
      <c r="GE50" s="925"/>
      <c r="GF50" s="925"/>
      <c r="GG50" s="925"/>
      <c r="GH50" s="925"/>
      <c r="GI50" s="925"/>
      <c r="GJ50" s="925"/>
      <c r="GK50" s="925"/>
      <c r="GL50" s="925"/>
      <c r="GM50" s="925"/>
      <c r="GN50" s="925"/>
      <c r="GO50" s="925"/>
      <c r="GP50" s="925"/>
      <c r="GQ50" s="925"/>
      <c r="GR50" s="925"/>
      <c r="GS50" s="925"/>
      <c r="GT50" s="925"/>
      <c r="GU50" s="925"/>
      <c r="GV50" s="925"/>
      <c r="GW50" s="925"/>
      <c r="GX50" s="925"/>
      <c r="GY50" s="925"/>
      <c r="GZ50" s="925"/>
      <c r="HA50" s="925"/>
      <c r="HB50" s="925"/>
      <c r="HC50" s="925"/>
      <c r="HD50" s="925"/>
      <c r="HE50" s="925"/>
      <c r="HF50" s="925"/>
      <c r="HG50" s="925"/>
      <c r="HH50" s="925"/>
      <c r="HI50" s="925"/>
      <c r="HJ50" s="925"/>
      <c r="HK50" s="925"/>
      <c r="HL50" s="925"/>
      <c r="HM50" s="925"/>
      <c r="HN50" s="925"/>
      <c r="HO50" s="925"/>
      <c r="HP50" s="925"/>
      <c r="HQ50" s="925"/>
      <c r="HR50" s="925"/>
      <c r="HS50" s="925"/>
      <c r="HT50" s="925"/>
      <c r="HU50" s="925"/>
      <c r="HV50" s="925"/>
      <c r="HW50" s="925"/>
      <c r="HX50" s="925"/>
      <c r="HY50" s="925"/>
      <c r="HZ50" s="925"/>
      <c r="IA50" s="925"/>
      <c r="IB50" s="925"/>
      <c r="IC50" s="925"/>
      <c r="ID50" s="925"/>
      <c r="IE50" s="925"/>
      <c r="IF50" s="925"/>
      <c r="IG50" s="925"/>
      <c r="IH50" s="925"/>
      <c r="II50" s="925"/>
      <c r="IJ50" s="925"/>
      <c r="IK50" s="925"/>
      <c r="IL50" s="925"/>
      <c r="IM50" s="925"/>
      <c r="IN50" s="925"/>
      <c r="IO50" s="925"/>
      <c r="IP50" s="925"/>
      <c r="IQ50" s="925"/>
      <c r="IR50" s="925"/>
      <c r="IS50" s="925"/>
      <c r="IT50" s="925"/>
      <c r="IU50" s="925"/>
      <c r="IV50" s="925"/>
    </row>
    <row r="51" s="923" customFormat="1" ht="20.1" customHeight="1" spans="1:256">
      <c r="A51" s="962" t="s">
        <v>376</v>
      </c>
      <c r="B51" s="963">
        <f>表外数据录入!C56</f>
        <v>0</v>
      </c>
      <c r="C51" s="964"/>
      <c r="D51" s="941"/>
      <c r="E51" s="941"/>
      <c r="F51" s="941"/>
      <c r="G51" s="941"/>
      <c r="H51" s="941"/>
      <c r="I51" s="925"/>
      <c r="J51" s="925"/>
      <c r="K51" s="925"/>
      <c r="L51" s="925"/>
      <c r="M51" s="925"/>
      <c r="N51" s="925"/>
      <c r="O51" s="925"/>
      <c r="P51" s="925"/>
      <c r="Q51" s="925"/>
      <c r="R51" s="925"/>
      <c r="S51" s="925"/>
      <c r="T51" s="925"/>
      <c r="U51" s="925"/>
      <c r="V51" s="925"/>
      <c r="W51" s="925"/>
      <c r="X51" s="925"/>
      <c r="Y51" s="925"/>
      <c r="Z51" s="925"/>
      <c r="AA51" s="925"/>
      <c r="AB51" s="925"/>
      <c r="AC51" s="925"/>
      <c r="AD51" s="925"/>
      <c r="AE51" s="925"/>
      <c r="AF51" s="925"/>
      <c r="AG51" s="925"/>
      <c r="AH51" s="925"/>
      <c r="AI51" s="925"/>
      <c r="AJ51" s="925"/>
      <c r="AK51" s="925"/>
      <c r="AL51" s="925"/>
      <c r="AM51" s="925"/>
      <c r="AN51" s="925"/>
      <c r="AO51" s="925"/>
      <c r="AP51" s="925"/>
      <c r="AQ51" s="925"/>
      <c r="AR51" s="925"/>
      <c r="AS51" s="925"/>
      <c r="AT51" s="925"/>
      <c r="AU51" s="925"/>
      <c r="AV51" s="925"/>
      <c r="AW51" s="925"/>
      <c r="AX51" s="925"/>
      <c r="AY51" s="925"/>
      <c r="AZ51" s="925"/>
      <c r="BA51" s="925"/>
      <c r="BB51" s="925"/>
      <c r="BC51" s="925"/>
      <c r="BD51" s="925"/>
      <c r="BE51" s="925"/>
      <c r="BF51" s="925"/>
      <c r="BG51" s="925"/>
      <c r="BH51" s="925"/>
      <c r="BI51" s="925"/>
      <c r="BJ51" s="925"/>
      <c r="BK51" s="925"/>
      <c r="BL51" s="925"/>
      <c r="BM51" s="925"/>
      <c r="BN51" s="925"/>
      <c r="BO51" s="925"/>
      <c r="BP51" s="925"/>
      <c r="BQ51" s="925"/>
      <c r="BR51" s="925"/>
      <c r="BS51" s="925"/>
      <c r="BT51" s="925"/>
      <c r="BU51" s="925"/>
      <c r="BV51" s="925"/>
      <c r="BW51" s="925"/>
      <c r="BX51" s="925"/>
      <c r="BY51" s="925"/>
      <c r="BZ51" s="925"/>
      <c r="CA51" s="925"/>
      <c r="CB51" s="925"/>
      <c r="CC51" s="925"/>
      <c r="CD51" s="925"/>
      <c r="CE51" s="925"/>
      <c r="CF51" s="925"/>
      <c r="CG51" s="925"/>
      <c r="CH51" s="925"/>
      <c r="CI51" s="925"/>
      <c r="CJ51" s="925"/>
      <c r="CK51" s="925"/>
      <c r="CL51" s="925"/>
      <c r="CM51" s="925"/>
      <c r="CN51" s="925"/>
      <c r="CO51" s="925"/>
      <c r="CP51" s="925"/>
      <c r="CQ51" s="925"/>
      <c r="CR51" s="925"/>
      <c r="CS51" s="925"/>
      <c r="CT51" s="925"/>
      <c r="CU51" s="925"/>
      <c r="CV51" s="925"/>
      <c r="CW51" s="925"/>
      <c r="CX51" s="925"/>
      <c r="CY51" s="925"/>
      <c r="CZ51" s="925"/>
      <c r="DA51" s="925"/>
      <c r="DB51" s="925"/>
      <c r="DC51" s="925"/>
      <c r="DD51" s="925"/>
      <c r="DE51" s="925"/>
      <c r="DF51" s="925"/>
      <c r="DG51" s="925"/>
      <c r="DH51" s="925"/>
      <c r="DI51" s="925"/>
      <c r="DJ51" s="925"/>
      <c r="DK51" s="925"/>
      <c r="DL51" s="925"/>
      <c r="DM51" s="925"/>
      <c r="DN51" s="925"/>
      <c r="DO51" s="925"/>
      <c r="DP51" s="925"/>
      <c r="DQ51" s="925"/>
      <c r="DR51" s="925"/>
      <c r="DS51" s="925"/>
      <c r="DT51" s="925"/>
      <c r="DU51" s="925"/>
      <c r="DV51" s="925"/>
      <c r="DW51" s="925"/>
      <c r="DX51" s="925"/>
      <c r="DY51" s="925"/>
      <c r="DZ51" s="925"/>
      <c r="EA51" s="925"/>
      <c r="EB51" s="925"/>
      <c r="EC51" s="925"/>
      <c r="ED51" s="925"/>
      <c r="EE51" s="925"/>
      <c r="EF51" s="925"/>
      <c r="EG51" s="925"/>
      <c r="EH51" s="925"/>
      <c r="EI51" s="925"/>
      <c r="EJ51" s="925"/>
      <c r="EK51" s="925"/>
      <c r="EL51" s="925"/>
      <c r="EM51" s="925"/>
      <c r="EN51" s="925"/>
      <c r="EO51" s="925"/>
      <c r="EP51" s="925"/>
      <c r="EQ51" s="925"/>
      <c r="ER51" s="925"/>
      <c r="ES51" s="925"/>
      <c r="ET51" s="925"/>
      <c r="EU51" s="925"/>
      <c r="EV51" s="925"/>
      <c r="EW51" s="925"/>
      <c r="EX51" s="925"/>
      <c r="EY51" s="925"/>
      <c r="EZ51" s="925"/>
      <c r="FA51" s="925"/>
      <c r="FB51" s="925"/>
      <c r="FC51" s="925"/>
      <c r="FD51" s="925"/>
      <c r="FE51" s="925"/>
      <c r="FF51" s="925"/>
      <c r="FG51" s="925"/>
      <c r="FH51" s="925"/>
      <c r="FI51" s="925"/>
      <c r="FJ51" s="925"/>
      <c r="FK51" s="925"/>
      <c r="FL51" s="925"/>
      <c r="FM51" s="925"/>
      <c r="FN51" s="925"/>
      <c r="FO51" s="925"/>
      <c r="FP51" s="925"/>
      <c r="FQ51" s="925"/>
      <c r="FR51" s="925"/>
      <c r="FS51" s="925"/>
      <c r="FT51" s="925"/>
      <c r="FU51" s="925"/>
      <c r="FV51" s="925"/>
      <c r="FW51" s="925"/>
      <c r="FX51" s="925"/>
      <c r="FY51" s="925"/>
      <c r="FZ51" s="925"/>
      <c r="GA51" s="925"/>
      <c r="GB51" s="925"/>
      <c r="GC51" s="925"/>
      <c r="GD51" s="925"/>
      <c r="GE51" s="925"/>
      <c r="GF51" s="925"/>
      <c r="GG51" s="925"/>
      <c r="GH51" s="925"/>
      <c r="GI51" s="925"/>
      <c r="GJ51" s="925"/>
      <c r="GK51" s="925"/>
      <c r="GL51" s="925"/>
      <c r="GM51" s="925"/>
      <c r="GN51" s="925"/>
      <c r="GO51" s="925"/>
      <c r="GP51" s="925"/>
      <c r="GQ51" s="925"/>
      <c r="GR51" s="925"/>
      <c r="GS51" s="925"/>
      <c r="GT51" s="925"/>
      <c r="GU51" s="925"/>
      <c r="GV51" s="925"/>
      <c r="GW51" s="925"/>
      <c r="GX51" s="925"/>
      <c r="GY51" s="925"/>
      <c r="GZ51" s="925"/>
      <c r="HA51" s="925"/>
      <c r="HB51" s="925"/>
      <c r="HC51" s="925"/>
      <c r="HD51" s="925"/>
      <c r="HE51" s="925"/>
      <c r="HF51" s="925"/>
      <c r="HG51" s="925"/>
      <c r="HH51" s="925"/>
      <c r="HI51" s="925"/>
      <c r="HJ51" s="925"/>
      <c r="HK51" s="925"/>
      <c r="HL51" s="925"/>
      <c r="HM51" s="925"/>
      <c r="HN51" s="925"/>
      <c r="HO51" s="925"/>
      <c r="HP51" s="925"/>
      <c r="HQ51" s="925"/>
      <c r="HR51" s="925"/>
      <c r="HS51" s="925"/>
      <c r="HT51" s="925"/>
      <c r="HU51" s="925"/>
      <c r="HV51" s="925"/>
      <c r="HW51" s="925"/>
      <c r="HX51" s="925"/>
      <c r="HY51" s="925"/>
      <c r="HZ51" s="925"/>
      <c r="IA51" s="925"/>
      <c r="IB51" s="925"/>
      <c r="IC51" s="925"/>
      <c r="ID51" s="925"/>
      <c r="IE51" s="925"/>
      <c r="IF51" s="925"/>
      <c r="IG51" s="925"/>
      <c r="IH51" s="925"/>
      <c r="II51" s="925"/>
      <c r="IJ51" s="925"/>
      <c r="IK51" s="925"/>
      <c r="IL51" s="925"/>
      <c r="IM51" s="925"/>
      <c r="IN51" s="925"/>
      <c r="IO51" s="925"/>
      <c r="IP51" s="925"/>
      <c r="IQ51" s="925"/>
      <c r="IR51" s="925"/>
      <c r="IS51" s="925"/>
      <c r="IT51" s="925"/>
      <c r="IU51" s="925"/>
      <c r="IV51" s="925"/>
    </row>
    <row r="52" s="923" customFormat="1" ht="20.1" customHeight="1" spans="1:256">
      <c r="A52" s="962" t="s">
        <v>377</v>
      </c>
      <c r="B52" s="963">
        <f>表外数据录入!C57</f>
        <v>0</v>
      </c>
      <c r="C52" s="964"/>
      <c r="D52" s="941"/>
      <c r="E52" s="941"/>
      <c r="F52" s="941"/>
      <c r="G52" s="941"/>
      <c r="H52" s="941"/>
      <c r="I52" s="925"/>
      <c r="J52" s="925"/>
      <c r="K52" s="925"/>
      <c r="L52" s="925"/>
      <c r="M52" s="925"/>
      <c r="N52" s="925"/>
      <c r="O52" s="925"/>
      <c r="P52" s="925"/>
      <c r="Q52" s="925"/>
      <c r="R52" s="925"/>
      <c r="S52" s="925"/>
      <c r="T52" s="925"/>
      <c r="U52" s="925"/>
      <c r="V52" s="925"/>
      <c r="W52" s="925"/>
      <c r="X52" s="925"/>
      <c r="Y52" s="925"/>
      <c r="Z52" s="925"/>
      <c r="AA52" s="925"/>
      <c r="AB52" s="925"/>
      <c r="AC52" s="925"/>
      <c r="AD52" s="925"/>
      <c r="AE52" s="925"/>
      <c r="AF52" s="925"/>
      <c r="AG52" s="925"/>
      <c r="AH52" s="925"/>
      <c r="AI52" s="925"/>
      <c r="AJ52" s="925"/>
      <c r="AK52" s="925"/>
      <c r="AL52" s="925"/>
      <c r="AM52" s="925"/>
      <c r="AN52" s="925"/>
      <c r="AO52" s="925"/>
      <c r="AP52" s="925"/>
      <c r="AQ52" s="925"/>
      <c r="AR52" s="925"/>
      <c r="AS52" s="925"/>
      <c r="AT52" s="925"/>
      <c r="AU52" s="925"/>
      <c r="AV52" s="925"/>
      <c r="AW52" s="925"/>
      <c r="AX52" s="925"/>
      <c r="AY52" s="925"/>
      <c r="AZ52" s="925"/>
      <c r="BA52" s="925"/>
      <c r="BB52" s="925"/>
      <c r="BC52" s="925"/>
      <c r="BD52" s="925"/>
      <c r="BE52" s="925"/>
      <c r="BF52" s="925"/>
      <c r="BG52" s="925"/>
      <c r="BH52" s="925"/>
      <c r="BI52" s="925"/>
      <c r="BJ52" s="925"/>
      <c r="BK52" s="925"/>
      <c r="BL52" s="925"/>
      <c r="BM52" s="925"/>
      <c r="BN52" s="925"/>
      <c r="BO52" s="925"/>
      <c r="BP52" s="925"/>
      <c r="BQ52" s="925"/>
      <c r="BR52" s="925"/>
      <c r="BS52" s="925"/>
      <c r="BT52" s="925"/>
      <c r="BU52" s="925"/>
      <c r="BV52" s="925"/>
      <c r="BW52" s="925"/>
      <c r="BX52" s="925"/>
      <c r="BY52" s="925"/>
      <c r="BZ52" s="925"/>
      <c r="CA52" s="925"/>
      <c r="CB52" s="925"/>
      <c r="CC52" s="925"/>
      <c r="CD52" s="925"/>
      <c r="CE52" s="925"/>
      <c r="CF52" s="925"/>
      <c r="CG52" s="925"/>
      <c r="CH52" s="925"/>
      <c r="CI52" s="925"/>
      <c r="CJ52" s="925"/>
      <c r="CK52" s="925"/>
      <c r="CL52" s="925"/>
      <c r="CM52" s="925"/>
      <c r="CN52" s="925"/>
      <c r="CO52" s="925"/>
      <c r="CP52" s="925"/>
      <c r="CQ52" s="925"/>
      <c r="CR52" s="925"/>
      <c r="CS52" s="925"/>
      <c r="CT52" s="925"/>
      <c r="CU52" s="925"/>
      <c r="CV52" s="925"/>
      <c r="CW52" s="925"/>
      <c r="CX52" s="925"/>
      <c r="CY52" s="925"/>
      <c r="CZ52" s="925"/>
      <c r="DA52" s="925"/>
      <c r="DB52" s="925"/>
      <c r="DC52" s="925"/>
      <c r="DD52" s="925"/>
      <c r="DE52" s="925"/>
      <c r="DF52" s="925"/>
      <c r="DG52" s="925"/>
      <c r="DH52" s="925"/>
      <c r="DI52" s="925"/>
      <c r="DJ52" s="925"/>
      <c r="DK52" s="925"/>
      <c r="DL52" s="925"/>
      <c r="DM52" s="925"/>
      <c r="DN52" s="925"/>
      <c r="DO52" s="925"/>
      <c r="DP52" s="925"/>
      <c r="DQ52" s="925"/>
      <c r="DR52" s="925"/>
      <c r="DS52" s="925"/>
      <c r="DT52" s="925"/>
      <c r="DU52" s="925"/>
      <c r="DV52" s="925"/>
      <c r="DW52" s="925"/>
      <c r="DX52" s="925"/>
      <c r="DY52" s="925"/>
      <c r="DZ52" s="925"/>
      <c r="EA52" s="925"/>
      <c r="EB52" s="925"/>
      <c r="EC52" s="925"/>
      <c r="ED52" s="925"/>
      <c r="EE52" s="925"/>
      <c r="EF52" s="925"/>
      <c r="EG52" s="925"/>
      <c r="EH52" s="925"/>
      <c r="EI52" s="925"/>
      <c r="EJ52" s="925"/>
      <c r="EK52" s="925"/>
      <c r="EL52" s="925"/>
      <c r="EM52" s="925"/>
      <c r="EN52" s="925"/>
      <c r="EO52" s="925"/>
      <c r="EP52" s="925"/>
      <c r="EQ52" s="925"/>
      <c r="ER52" s="925"/>
      <c r="ES52" s="925"/>
      <c r="ET52" s="925"/>
      <c r="EU52" s="925"/>
      <c r="EV52" s="925"/>
      <c r="EW52" s="925"/>
      <c r="EX52" s="925"/>
      <c r="EY52" s="925"/>
      <c r="EZ52" s="925"/>
      <c r="FA52" s="925"/>
      <c r="FB52" s="925"/>
      <c r="FC52" s="925"/>
      <c r="FD52" s="925"/>
      <c r="FE52" s="925"/>
      <c r="FF52" s="925"/>
      <c r="FG52" s="925"/>
      <c r="FH52" s="925"/>
      <c r="FI52" s="925"/>
      <c r="FJ52" s="925"/>
      <c r="FK52" s="925"/>
      <c r="FL52" s="925"/>
      <c r="FM52" s="925"/>
      <c r="FN52" s="925"/>
      <c r="FO52" s="925"/>
      <c r="FP52" s="925"/>
      <c r="FQ52" s="925"/>
      <c r="FR52" s="925"/>
      <c r="FS52" s="925"/>
      <c r="FT52" s="925"/>
      <c r="FU52" s="925"/>
      <c r="FV52" s="925"/>
      <c r="FW52" s="925"/>
      <c r="FX52" s="925"/>
      <c r="FY52" s="925"/>
      <c r="FZ52" s="925"/>
      <c r="GA52" s="925"/>
      <c r="GB52" s="925"/>
      <c r="GC52" s="925"/>
      <c r="GD52" s="925"/>
      <c r="GE52" s="925"/>
      <c r="GF52" s="925"/>
      <c r="GG52" s="925"/>
      <c r="GH52" s="925"/>
      <c r="GI52" s="925"/>
      <c r="GJ52" s="925"/>
      <c r="GK52" s="925"/>
      <c r="GL52" s="925"/>
      <c r="GM52" s="925"/>
      <c r="GN52" s="925"/>
      <c r="GO52" s="925"/>
      <c r="GP52" s="925"/>
      <c r="GQ52" s="925"/>
      <c r="GR52" s="925"/>
      <c r="GS52" s="925"/>
      <c r="GT52" s="925"/>
      <c r="GU52" s="925"/>
      <c r="GV52" s="925"/>
      <c r="GW52" s="925"/>
      <c r="GX52" s="925"/>
      <c r="GY52" s="925"/>
      <c r="GZ52" s="925"/>
      <c r="HA52" s="925"/>
      <c r="HB52" s="925"/>
      <c r="HC52" s="925"/>
      <c r="HD52" s="925"/>
      <c r="HE52" s="925"/>
      <c r="HF52" s="925"/>
      <c r="HG52" s="925"/>
      <c r="HH52" s="925"/>
      <c r="HI52" s="925"/>
      <c r="HJ52" s="925"/>
      <c r="HK52" s="925"/>
      <c r="HL52" s="925"/>
      <c r="HM52" s="925"/>
      <c r="HN52" s="925"/>
      <c r="HO52" s="925"/>
      <c r="HP52" s="925"/>
      <c r="HQ52" s="925"/>
      <c r="HR52" s="925"/>
      <c r="HS52" s="925"/>
      <c r="HT52" s="925"/>
      <c r="HU52" s="925"/>
      <c r="HV52" s="925"/>
      <c r="HW52" s="925"/>
      <c r="HX52" s="925"/>
      <c r="HY52" s="925"/>
      <c r="HZ52" s="925"/>
      <c r="IA52" s="925"/>
      <c r="IB52" s="925"/>
      <c r="IC52" s="925"/>
      <c r="ID52" s="925"/>
      <c r="IE52" s="925"/>
      <c r="IF52" s="925"/>
      <c r="IG52" s="925"/>
      <c r="IH52" s="925"/>
      <c r="II52" s="925"/>
      <c r="IJ52" s="925"/>
      <c r="IK52" s="925"/>
      <c r="IL52" s="925"/>
      <c r="IM52" s="925"/>
      <c r="IN52" s="925"/>
      <c r="IO52" s="925"/>
      <c r="IP52" s="925"/>
      <c r="IQ52" s="925"/>
      <c r="IR52" s="925"/>
      <c r="IS52" s="925"/>
      <c r="IT52" s="925"/>
      <c r="IU52" s="925"/>
      <c r="IV52" s="925"/>
    </row>
    <row r="53" s="923" customFormat="1" ht="39.95" customHeight="1" spans="1:256">
      <c r="A53" s="962" t="s">
        <v>378</v>
      </c>
      <c r="B53" s="963">
        <f>表外数据录入!C59</f>
        <v>0</v>
      </c>
      <c r="C53" s="964"/>
      <c r="D53" s="941" t="s">
        <v>379</v>
      </c>
      <c r="E53" s="941"/>
      <c r="F53" s="941"/>
      <c r="G53" s="941"/>
      <c r="H53" s="941"/>
      <c r="I53" s="925"/>
      <c r="J53" s="925"/>
      <c r="K53" s="925"/>
      <c r="L53" s="925"/>
      <c r="M53" s="925"/>
      <c r="N53" s="925"/>
      <c r="O53" s="925"/>
      <c r="P53" s="925"/>
      <c r="Q53" s="925"/>
      <c r="R53" s="925"/>
      <c r="S53" s="925"/>
      <c r="T53" s="925"/>
      <c r="U53" s="925"/>
      <c r="V53" s="925"/>
      <c r="W53" s="925"/>
      <c r="X53" s="925"/>
      <c r="Y53" s="925"/>
      <c r="Z53" s="925"/>
      <c r="AA53" s="925"/>
      <c r="AB53" s="925"/>
      <c r="AC53" s="925"/>
      <c r="AD53" s="925"/>
      <c r="AE53" s="925"/>
      <c r="AF53" s="925"/>
      <c r="AG53" s="925"/>
      <c r="AH53" s="925"/>
      <c r="AI53" s="925"/>
      <c r="AJ53" s="925"/>
      <c r="AK53" s="925"/>
      <c r="AL53" s="925"/>
      <c r="AM53" s="925"/>
      <c r="AN53" s="925"/>
      <c r="AO53" s="925"/>
      <c r="AP53" s="925"/>
      <c r="AQ53" s="925"/>
      <c r="AR53" s="925"/>
      <c r="AS53" s="925"/>
      <c r="AT53" s="925"/>
      <c r="AU53" s="925"/>
      <c r="AV53" s="925"/>
      <c r="AW53" s="925"/>
      <c r="AX53" s="925"/>
      <c r="AY53" s="925"/>
      <c r="AZ53" s="925"/>
      <c r="BA53" s="925"/>
      <c r="BB53" s="925"/>
      <c r="BC53" s="925"/>
      <c r="BD53" s="925"/>
      <c r="BE53" s="925"/>
      <c r="BF53" s="925"/>
      <c r="BG53" s="925"/>
      <c r="BH53" s="925"/>
      <c r="BI53" s="925"/>
      <c r="BJ53" s="925"/>
      <c r="BK53" s="925"/>
      <c r="BL53" s="925"/>
      <c r="BM53" s="925"/>
      <c r="BN53" s="925"/>
      <c r="BO53" s="925"/>
      <c r="BP53" s="925"/>
      <c r="BQ53" s="925"/>
      <c r="BR53" s="925"/>
      <c r="BS53" s="925"/>
      <c r="BT53" s="925"/>
      <c r="BU53" s="925"/>
      <c r="BV53" s="925"/>
      <c r="BW53" s="925"/>
      <c r="BX53" s="925"/>
      <c r="BY53" s="925"/>
      <c r="BZ53" s="925"/>
      <c r="CA53" s="925"/>
      <c r="CB53" s="925"/>
      <c r="CC53" s="925"/>
      <c r="CD53" s="925"/>
      <c r="CE53" s="925"/>
      <c r="CF53" s="925"/>
      <c r="CG53" s="925"/>
      <c r="CH53" s="925"/>
      <c r="CI53" s="925"/>
      <c r="CJ53" s="925"/>
      <c r="CK53" s="925"/>
      <c r="CL53" s="925"/>
      <c r="CM53" s="925"/>
      <c r="CN53" s="925"/>
      <c r="CO53" s="925"/>
      <c r="CP53" s="925"/>
      <c r="CQ53" s="925"/>
      <c r="CR53" s="925"/>
      <c r="CS53" s="925"/>
      <c r="CT53" s="925"/>
      <c r="CU53" s="925"/>
      <c r="CV53" s="925"/>
      <c r="CW53" s="925"/>
      <c r="CX53" s="925"/>
      <c r="CY53" s="925"/>
      <c r="CZ53" s="925"/>
      <c r="DA53" s="925"/>
      <c r="DB53" s="925"/>
      <c r="DC53" s="925"/>
      <c r="DD53" s="925"/>
      <c r="DE53" s="925"/>
      <c r="DF53" s="925"/>
      <c r="DG53" s="925"/>
      <c r="DH53" s="925"/>
      <c r="DI53" s="925"/>
      <c r="DJ53" s="925"/>
      <c r="DK53" s="925"/>
      <c r="DL53" s="925"/>
      <c r="DM53" s="925"/>
      <c r="DN53" s="925"/>
      <c r="DO53" s="925"/>
      <c r="DP53" s="925"/>
      <c r="DQ53" s="925"/>
      <c r="DR53" s="925"/>
      <c r="DS53" s="925"/>
      <c r="DT53" s="925"/>
      <c r="DU53" s="925"/>
      <c r="DV53" s="925"/>
      <c r="DW53" s="925"/>
      <c r="DX53" s="925"/>
      <c r="DY53" s="925"/>
      <c r="DZ53" s="925"/>
      <c r="EA53" s="925"/>
      <c r="EB53" s="925"/>
      <c r="EC53" s="925"/>
      <c r="ED53" s="925"/>
      <c r="EE53" s="925"/>
      <c r="EF53" s="925"/>
      <c r="EG53" s="925"/>
      <c r="EH53" s="925"/>
      <c r="EI53" s="925"/>
      <c r="EJ53" s="925"/>
      <c r="EK53" s="925"/>
      <c r="EL53" s="925"/>
      <c r="EM53" s="925"/>
      <c r="EN53" s="925"/>
      <c r="EO53" s="925"/>
      <c r="EP53" s="925"/>
      <c r="EQ53" s="925"/>
      <c r="ER53" s="925"/>
      <c r="ES53" s="925"/>
      <c r="ET53" s="925"/>
      <c r="EU53" s="925"/>
      <c r="EV53" s="925"/>
      <c r="EW53" s="925"/>
      <c r="EX53" s="925"/>
      <c r="EY53" s="925"/>
      <c r="EZ53" s="925"/>
      <c r="FA53" s="925"/>
      <c r="FB53" s="925"/>
      <c r="FC53" s="925"/>
      <c r="FD53" s="925"/>
      <c r="FE53" s="925"/>
      <c r="FF53" s="925"/>
      <c r="FG53" s="925"/>
      <c r="FH53" s="925"/>
      <c r="FI53" s="925"/>
      <c r="FJ53" s="925"/>
      <c r="FK53" s="925"/>
      <c r="FL53" s="925"/>
      <c r="FM53" s="925"/>
      <c r="FN53" s="925"/>
      <c r="FO53" s="925"/>
      <c r="FP53" s="925"/>
      <c r="FQ53" s="925"/>
      <c r="FR53" s="925"/>
      <c r="FS53" s="925"/>
      <c r="FT53" s="925"/>
      <c r="FU53" s="925"/>
      <c r="FV53" s="925"/>
      <c r="FW53" s="925"/>
      <c r="FX53" s="925"/>
      <c r="FY53" s="925"/>
      <c r="FZ53" s="925"/>
      <c r="GA53" s="925"/>
      <c r="GB53" s="925"/>
      <c r="GC53" s="925"/>
      <c r="GD53" s="925"/>
      <c r="GE53" s="925"/>
      <c r="GF53" s="925"/>
      <c r="GG53" s="925"/>
      <c r="GH53" s="925"/>
      <c r="GI53" s="925"/>
      <c r="GJ53" s="925"/>
      <c r="GK53" s="925"/>
      <c r="GL53" s="925"/>
      <c r="GM53" s="925"/>
      <c r="GN53" s="925"/>
      <c r="GO53" s="925"/>
      <c r="GP53" s="925"/>
      <c r="GQ53" s="925"/>
      <c r="GR53" s="925"/>
      <c r="GS53" s="925"/>
      <c r="GT53" s="925"/>
      <c r="GU53" s="925"/>
      <c r="GV53" s="925"/>
      <c r="GW53" s="925"/>
      <c r="GX53" s="925"/>
      <c r="GY53" s="925"/>
      <c r="GZ53" s="925"/>
      <c r="HA53" s="925"/>
      <c r="HB53" s="925"/>
      <c r="HC53" s="925"/>
      <c r="HD53" s="925"/>
      <c r="HE53" s="925"/>
      <c r="HF53" s="925"/>
      <c r="HG53" s="925"/>
      <c r="HH53" s="925"/>
      <c r="HI53" s="925"/>
      <c r="HJ53" s="925"/>
      <c r="HK53" s="925"/>
      <c r="HL53" s="925"/>
      <c r="HM53" s="925"/>
      <c r="HN53" s="925"/>
      <c r="HO53" s="925"/>
      <c r="HP53" s="925"/>
      <c r="HQ53" s="925"/>
      <c r="HR53" s="925"/>
      <c r="HS53" s="925"/>
      <c r="HT53" s="925"/>
      <c r="HU53" s="925"/>
      <c r="HV53" s="925"/>
      <c r="HW53" s="925"/>
      <c r="HX53" s="925"/>
      <c r="HY53" s="925"/>
      <c r="HZ53" s="925"/>
      <c r="IA53" s="925"/>
      <c r="IB53" s="925"/>
      <c r="IC53" s="925"/>
      <c r="ID53" s="925"/>
      <c r="IE53" s="925"/>
      <c r="IF53" s="925"/>
      <c r="IG53" s="925"/>
      <c r="IH53" s="925"/>
      <c r="II53" s="925"/>
      <c r="IJ53" s="925"/>
      <c r="IK53" s="925"/>
      <c r="IL53" s="925"/>
      <c r="IM53" s="925"/>
      <c r="IN53" s="925"/>
      <c r="IO53" s="925"/>
      <c r="IP53" s="925"/>
      <c r="IQ53" s="925"/>
      <c r="IR53" s="925"/>
      <c r="IS53" s="925"/>
      <c r="IT53" s="925"/>
      <c r="IU53" s="925"/>
      <c r="IV53" s="925"/>
    </row>
    <row r="54" s="923" customFormat="1" ht="20.1" customHeight="1" spans="1:256">
      <c r="A54" s="962" t="s">
        <v>380</v>
      </c>
      <c r="B54" s="963">
        <f>表外数据录入!C58</f>
        <v>0</v>
      </c>
      <c r="C54" s="964"/>
      <c r="D54" s="941"/>
      <c r="E54" s="941"/>
      <c r="F54" s="941"/>
      <c r="G54" s="941"/>
      <c r="H54" s="941"/>
      <c r="I54" s="925"/>
      <c r="J54" s="925"/>
      <c r="K54" s="925"/>
      <c r="L54" s="925"/>
      <c r="M54" s="925"/>
      <c r="N54" s="925"/>
      <c r="O54" s="925"/>
      <c r="P54" s="925"/>
      <c r="Q54" s="925"/>
      <c r="R54" s="925"/>
      <c r="S54" s="925"/>
      <c r="T54" s="925"/>
      <c r="U54" s="925"/>
      <c r="V54" s="925"/>
      <c r="W54" s="925"/>
      <c r="X54" s="925"/>
      <c r="Y54" s="925"/>
      <c r="Z54" s="925"/>
      <c r="AA54" s="925"/>
      <c r="AB54" s="925"/>
      <c r="AC54" s="925"/>
      <c r="AD54" s="925"/>
      <c r="AE54" s="925"/>
      <c r="AF54" s="925"/>
      <c r="AG54" s="925"/>
      <c r="AH54" s="925"/>
      <c r="AI54" s="925"/>
      <c r="AJ54" s="925"/>
      <c r="AK54" s="925"/>
      <c r="AL54" s="925"/>
      <c r="AM54" s="925"/>
      <c r="AN54" s="925"/>
      <c r="AO54" s="925"/>
      <c r="AP54" s="925"/>
      <c r="AQ54" s="925"/>
      <c r="AR54" s="925"/>
      <c r="AS54" s="925"/>
      <c r="AT54" s="925"/>
      <c r="AU54" s="925"/>
      <c r="AV54" s="925"/>
      <c r="AW54" s="925"/>
      <c r="AX54" s="925"/>
      <c r="AY54" s="925"/>
      <c r="AZ54" s="925"/>
      <c r="BA54" s="925"/>
      <c r="BB54" s="925"/>
      <c r="BC54" s="925"/>
      <c r="BD54" s="925"/>
      <c r="BE54" s="925"/>
      <c r="BF54" s="925"/>
      <c r="BG54" s="925"/>
      <c r="BH54" s="925"/>
      <c r="BI54" s="925"/>
      <c r="BJ54" s="925"/>
      <c r="BK54" s="925"/>
      <c r="BL54" s="925"/>
      <c r="BM54" s="925"/>
      <c r="BN54" s="925"/>
      <c r="BO54" s="925"/>
      <c r="BP54" s="925"/>
      <c r="BQ54" s="925"/>
      <c r="BR54" s="925"/>
      <c r="BS54" s="925"/>
      <c r="BT54" s="925"/>
      <c r="BU54" s="925"/>
      <c r="BV54" s="925"/>
      <c r="BW54" s="925"/>
      <c r="BX54" s="925"/>
      <c r="BY54" s="925"/>
      <c r="BZ54" s="925"/>
      <c r="CA54" s="925"/>
      <c r="CB54" s="925"/>
      <c r="CC54" s="925"/>
      <c r="CD54" s="925"/>
      <c r="CE54" s="925"/>
      <c r="CF54" s="925"/>
      <c r="CG54" s="925"/>
      <c r="CH54" s="925"/>
      <c r="CI54" s="925"/>
      <c r="CJ54" s="925"/>
      <c r="CK54" s="925"/>
      <c r="CL54" s="925"/>
      <c r="CM54" s="925"/>
      <c r="CN54" s="925"/>
      <c r="CO54" s="925"/>
      <c r="CP54" s="925"/>
      <c r="CQ54" s="925"/>
      <c r="CR54" s="925"/>
      <c r="CS54" s="925"/>
      <c r="CT54" s="925"/>
      <c r="CU54" s="925"/>
      <c r="CV54" s="925"/>
      <c r="CW54" s="925"/>
      <c r="CX54" s="925"/>
      <c r="CY54" s="925"/>
      <c r="CZ54" s="925"/>
      <c r="DA54" s="925"/>
      <c r="DB54" s="925"/>
      <c r="DC54" s="925"/>
      <c r="DD54" s="925"/>
      <c r="DE54" s="925"/>
      <c r="DF54" s="925"/>
      <c r="DG54" s="925"/>
      <c r="DH54" s="925"/>
      <c r="DI54" s="925"/>
      <c r="DJ54" s="925"/>
      <c r="DK54" s="925"/>
      <c r="DL54" s="925"/>
      <c r="DM54" s="925"/>
      <c r="DN54" s="925"/>
      <c r="DO54" s="925"/>
      <c r="DP54" s="925"/>
      <c r="DQ54" s="925"/>
      <c r="DR54" s="925"/>
      <c r="DS54" s="925"/>
      <c r="DT54" s="925"/>
      <c r="DU54" s="925"/>
      <c r="DV54" s="925"/>
      <c r="DW54" s="925"/>
      <c r="DX54" s="925"/>
      <c r="DY54" s="925"/>
      <c r="DZ54" s="925"/>
      <c r="EA54" s="925"/>
      <c r="EB54" s="925"/>
      <c r="EC54" s="925"/>
      <c r="ED54" s="925"/>
      <c r="EE54" s="925"/>
      <c r="EF54" s="925"/>
      <c r="EG54" s="925"/>
      <c r="EH54" s="925"/>
      <c r="EI54" s="925"/>
      <c r="EJ54" s="925"/>
      <c r="EK54" s="925"/>
      <c r="EL54" s="925"/>
      <c r="EM54" s="925"/>
      <c r="EN54" s="925"/>
      <c r="EO54" s="925"/>
      <c r="EP54" s="925"/>
      <c r="EQ54" s="925"/>
      <c r="ER54" s="925"/>
      <c r="ES54" s="925"/>
      <c r="ET54" s="925"/>
      <c r="EU54" s="925"/>
      <c r="EV54" s="925"/>
      <c r="EW54" s="925"/>
      <c r="EX54" s="925"/>
      <c r="EY54" s="925"/>
      <c r="EZ54" s="925"/>
      <c r="FA54" s="925"/>
      <c r="FB54" s="925"/>
      <c r="FC54" s="925"/>
      <c r="FD54" s="925"/>
      <c r="FE54" s="925"/>
      <c r="FF54" s="925"/>
      <c r="FG54" s="925"/>
      <c r="FH54" s="925"/>
      <c r="FI54" s="925"/>
      <c r="FJ54" s="925"/>
      <c r="FK54" s="925"/>
      <c r="FL54" s="925"/>
      <c r="FM54" s="925"/>
      <c r="FN54" s="925"/>
      <c r="FO54" s="925"/>
      <c r="FP54" s="925"/>
      <c r="FQ54" s="925"/>
      <c r="FR54" s="925"/>
      <c r="FS54" s="925"/>
      <c r="FT54" s="925"/>
      <c r="FU54" s="925"/>
      <c r="FV54" s="925"/>
      <c r="FW54" s="925"/>
      <c r="FX54" s="925"/>
      <c r="FY54" s="925"/>
      <c r="FZ54" s="925"/>
      <c r="GA54" s="925"/>
      <c r="GB54" s="925"/>
      <c r="GC54" s="925"/>
      <c r="GD54" s="925"/>
      <c r="GE54" s="925"/>
      <c r="GF54" s="925"/>
      <c r="GG54" s="925"/>
      <c r="GH54" s="925"/>
      <c r="GI54" s="925"/>
      <c r="GJ54" s="925"/>
      <c r="GK54" s="925"/>
      <c r="GL54" s="925"/>
      <c r="GM54" s="925"/>
      <c r="GN54" s="925"/>
      <c r="GO54" s="925"/>
      <c r="GP54" s="925"/>
      <c r="GQ54" s="925"/>
      <c r="GR54" s="925"/>
      <c r="GS54" s="925"/>
      <c r="GT54" s="925"/>
      <c r="GU54" s="925"/>
      <c r="GV54" s="925"/>
      <c r="GW54" s="925"/>
      <c r="GX54" s="925"/>
      <c r="GY54" s="925"/>
      <c r="GZ54" s="925"/>
      <c r="HA54" s="925"/>
      <c r="HB54" s="925"/>
      <c r="HC54" s="925"/>
      <c r="HD54" s="925"/>
      <c r="HE54" s="925"/>
      <c r="HF54" s="925"/>
      <c r="HG54" s="925"/>
      <c r="HH54" s="925"/>
      <c r="HI54" s="925"/>
      <c r="HJ54" s="925"/>
      <c r="HK54" s="925"/>
      <c r="HL54" s="925"/>
      <c r="HM54" s="925"/>
      <c r="HN54" s="925"/>
      <c r="HO54" s="925"/>
      <c r="HP54" s="925"/>
      <c r="HQ54" s="925"/>
      <c r="HR54" s="925"/>
      <c r="HS54" s="925"/>
      <c r="HT54" s="925"/>
      <c r="HU54" s="925"/>
      <c r="HV54" s="925"/>
      <c r="HW54" s="925"/>
      <c r="HX54" s="925"/>
      <c r="HY54" s="925"/>
      <c r="HZ54" s="925"/>
      <c r="IA54" s="925"/>
      <c r="IB54" s="925"/>
      <c r="IC54" s="925"/>
      <c r="ID54" s="925"/>
      <c r="IE54" s="925"/>
      <c r="IF54" s="925"/>
      <c r="IG54" s="925"/>
      <c r="IH54" s="925"/>
      <c r="II54" s="925"/>
      <c r="IJ54" s="925"/>
      <c r="IK54" s="925"/>
      <c r="IL54" s="925"/>
      <c r="IM54" s="925"/>
      <c r="IN54" s="925"/>
      <c r="IO54" s="925"/>
      <c r="IP54" s="925"/>
      <c r="IQ54" s="925"/>
      <c r="IR54" s="925"/>
      <c r="IS54" s="925"/>
      <c r="IT54" s="925"/>
      <c r="IU54" s="925"/>
      <c r="IV54" s="925"/>
    </row>
    <row r="55" s="923" customFormat="1" ht="20.1" customHeight="1" spans="1:256">
      <c r="A55" s="962" t="s">
        <v>381</v>
      </c>
      <c r="B55" s="963">
        <f>-利润表!B13</f>
        <v>0</v>
      </c>
      <c r="C55" s="964"/>
      <c r="D55" s="941"/>
      <c r="E55" s="941"/>
      <c r="F55" s="941"/>
      <c r="G55" s="941"/>
      <c r="H55" s="941"/>
      <c r="I55" s="925"/>
      <c r="J55" s="925"/>
      <c r="K55" s="925"/>
      <c r="L55" s="925"/>
      <c r="M55" s="925"/>
      <c r="N55" s="925"/>
      <c r="O55" s="925"/>
      <c r="P55" s="925"/>
      <c r="Q55" s="925"/>
      <c r="R55" s="925"/>
      <c r="S55" s="925"/>
      <c r="T55" s="925"/>
      <c r="U55" s="925"/>
      <c r="V55" s="925"/>
      <c r="W55" s="925"/>
      <c r="X55" s="925"/>
      <c r="Y55" s="925"/>
      <c r="Z55" s="925"/>
      <c r="AA55" s="925"/>
      <c r="AB55" s="925"/>
      <c r="AC55" s="925"/>
      <c r="AD55" s="925"/>
      <c r="AE55" s="925"/>
      <c r="AF55" s="925"/>
      <c r="AG55" s="925"/>
      <c r="AH55" s="925"/>
      <c r="AI55" s="925"/>
      <c r="AJ55" s="925"/>
      <c r="AK55" s="925"/>
      <c r="AL55" s="925"/>
      <c r="AM55" s="925"/>
      <c r="AN55" s="925"/>
      <c r="AO55" s="925"/>
      <c r="AP55" s="925"/>
      <c r="AQ55" s="925"/>
      <c r="AR55" s="925"/>
      <c r="AS55" s="925"/>
      <c r="AT55" s="925"/>
      <c r="AU55" s="925"/>
      <c r="AV55" s="925"/>
      <c r="AW55" s="925"/>
      <c r="AX55" s="925"/>
      <c r="AY55" s="925"/>
      <c r="AZ55" s="925"/>
      <c r="BA55" s="925"/>
      <c r="BB55" s="925"/>
      <c r="BC55" s="925"/>
      <c r="BD55" s="925"/>
      <c r="BE55" s="925"/>
      <c r="BF55" s="925"/>
      <c r="BG55" s="925"/>
      <c r="BH55" s="925"/>
      <c r="BI55" s="925"/>
      <c r="BJ55" s="925"/>
      <c r="BK55" s="925"/>
      <c r="BL55" s="925"/>
      <c r="BM55" s="925"/>
      <c r="BN55" s="925"/>
      <c r="BO55" s="925"/>
      <c r="BP55" s="925"/>
      <c r="BQ55" s="925"/>
      <c r="BR55" s="925"/>
      <c r="BS55" s="925"/>
      <c r="BT55" s="925"/>
      <c r="BU55" s="925"/>
      <c r="BV55" s="925"/>
      <c r="BW55" s="925"/>
      <c r="BX55" s="925"/>
      <c r="BY55" s="925"/>
      <c r="BZ55" s="925"/>
      <c r="CA55" s="925"/>
      <c r="CB55" s="925"/>
      <c r="CC55" s="925"/>
      <c r="CD55" s="925"/>
      <c r="CE55" s="925"/>
      <c r="CF55" s="925"/>
      <c r="CG55" s="925"/>
      <c r="CH55" s="925"/>
      <c r="CI55" s="925"/>
      <c r="CJ55" s="925"/>
      <c r="CK55" s="925"/>
      <c r="CL55" s="925"/>
      <c r="CM55" s="925"/>
      <c r="CN55" s="925"/>
      <c r="CO55" s="925"/>
      <c r="CP55" s="925"/>
      <c r="CQ55" s="925"/>
      <c r="CR55" s="925"/>
      <c r="CS55" s="925"/>
      <c r="CT55" s="925"/>
      <c r="CU55" s="925"/>
      <c r="CV55" s="925"/>
      <c r="CW55" s="925"/>
      <c r="CX55" s="925"/>
      <c r="CY55" s="925"/>
      <c r="CZ55" s="925"/>
      <c r="DA55" s="925"/>
      <c r="DB55" s="925"/>
      <c r="DC55" s="925"/>
      <c r="DD55" s="925"/>
      <c r="DE55" s="925"/>
      <c r="DF55" s="925"/>
      <c r="DG55" s="925"/>
      <c r="DH55" s="925"/>
      <c r="DI55" s="925"/>
      <c r="DJ55" s="925"/>
      <c r="DK55" s="925"/>
      <c r="DL55" s="925"/>
      <c r="DM55" s="925"/>
      <c r="DN55" s="925"/>
      <c r="DO55" s="925"/>
      <c r="DP55" s="925"/>
      <c r="DQ55" s="925"/>
      <c r="DR55" s="925"/>
      <c r="DS55" s="925"/>
      <c r="DT55" s="925"/>
      <c r="DU55" s="925"/>
      <c r="DV55" s="925"/>
      <c r="DW55" s="925"/>
      <c r="DX55" s="925"/>
      <c r="DY55" s="925"/>
      <c r="DZ55" s="925"/>
      <c r="EA55" s="925"/>
      <c r="EB55" s="925"/>
      <c r="EC55" s="925"/>
      <c r="ED55" s="925"/>
      <c r="EE55" s="925"/>
      <c r="EF55" s="925"/>
      <c r="EG55" s="925"/>
      <c r="EH55" s="925"/>
      <c r="EI55" s="925"/>
      <c r="EJ55" s="925"/>
      <c r="EK55" s="925"/>
      <c r="EL55" s="925"/>
      <c r="EM55" s="925"/>
      <c r="EN55" s="925"/>
      <c r="EO55" s="925"/>
      <c r="EP55" s="925"/>
      <c r="EQ55" s="925"/>
      <c r="ER55" s="925"/>
      <c r="ES55" s="925"/>
      <c r="ET55" s="925"/>
      <c r="EU55" s="925"/>
      <c r="EV55" s="925"/>
      <c r="EW55" s="925"/>
      <c r="EX55" s="925"/>
      <c r="EY55" s="925"/>
      <c r="EZ55" s="925"/>
      <c r="FA55" s="925"/>
      <c r="FB55" s="925"/>
      <c r="FC55" s="925"/>
      <c r="FD55" s="925"/>
      <c r="FE55" s="925"/>
      <c r="FF55" s="925"/>
      <c r="FG55" s="925"/>
      <c r="FH55" s="925"/>
      <c r="FI55" s="925"/>
      <c r="FJ55" s="925"/>
      <c r="FK55" s="925"/>
      <c r="FL55" s="925"/>
      <c r="FM55" s="925"/>
      <c r="FN55" s="925"/>
      <c r="FO55" s="925"/>
      <c r="FP55" s="925"/>
      <c r="FQ55" s="925"/>
      <c r="FR55" s="925"/>
      <c r="FS55" s="925"/>
      <c r="FT55" s="925"/>
      <c r="FU55" s="925"/>
      <c r="FV55" s="925"/>
      <c r="FW55" s="925"/>
      <c r="FX55" s="925"/>
      <c r="FY55" s="925"/>
      <c r="FZ55" s="925"/>
      <c r="GA55" s="925"/>
      <c r="GB55" s="925"/>
      <c r="GC55" s="925"/>
      <c r="GD55" s="925"/>
      <c r="GE55" s="925"/>
      <c r="GF55" s="925"/>
      <c r="GG55" s="925"/>
      <c r="GH55" s="925"/>
      <c r="GI55" s="925"/>
      <c r="GJ55" s="925"/>
      <c r="GK55" s="925"/>
      <c r="GL55" s="925"/>
      <c r="GM55" s="925"/>
      <c r="GN55" s="925"/>
      <c r="GO55" s="925"/>
      <c r="GP55" s="925"/>
      <c r="GQ55" s="925"/>
      <c r="GR55" s="925"/>
      <c r="GS55" s="925"/>
      <c r="GT55" s="925"/>
      <c r="GU55" s="925"/>
      <c r="GV55" s="925"/>
      <c r="GW55" s="925"/>
      <c r="GX55" s="925"/>
      <c r="GY55" s="925"/>
      <c r="GZ55" s="925"/>
      <c r="HA55" s="925"/>
      <c r="HB55" s="925"/>
      <c r="HC55" s="925"/>
      <c r="HD55" s="925"/>
      <c r="HE55" s="925"/>
      <c r="HF55" s="925"/>
      <c r="HG55" s="925"/>
      <c r="HH55" s="925"/>
      <c r="HI55" s="925"/>
      <c r="HJ55" s="925"/>
      <c r="HK55" s="925"/>
      <c r="HL55" s="925"/>
      <c r="HM55" s="925"/>
      <c r="HN55" s="925"/>
      <c r="HO55" s="925"/>
      <c r="HP55" s="925"/>
      <c r="HQ55" s="925"/>
      <c r="HR55" s="925"/>
      <c r="HS55" s="925"/>
      <c r="HT55" s="925"/>
      <c r="HU55" s="925"/>
      <c r="HV55" s="925"/>
      <c r="HW55" s="925"/>
      <c r="HX55" s="925"/>
      <c r="HY55" s="925"/>
      <c r="HZ55" s="925"/>
      <c r="IA55" s="925"/>
      <c r="IB55" s="925"/>
      <c r="IC55" s="925"/>
      <c r="ID55" s="925"/>
      <c r="IE55" s="925"/>
      <c r="IF55" s="925"/>
      <c r="IG55" s="925"/>
      <c r="IH55" s="925"/>
      <c r="II55" s="925"/>
      <c r="IJ55" s="925"/>
      <c r="IK55" s="925"/>
      <c r="IL55" s="925"/>
      <c r="IM55" s="925"/>
      <c r="IN55" s="925"/>
      <c r="IO55" s="925"/>
      <c r="IP55" s="925"/>
      <c r="IQ55" s="925"/>
      <c r="IR55" s="925"/>
      <c r="IS55" s="925"/>
      <c r="IT55" s="925"/>
      <c r="IU55" s="925"/>
      <c r="IV55" s="925"/>
    </row>
    <row r="56" s="923" customFormat="1" ht="20.1" customHeight="1" spans="1:256">
      <c r="A56" s="962" t="s">
        <v>382</v>
      </c>
      <c r="B56" s="963">
        <f>表外数据录入!C46</f>
        <v>0</v>
      </c>
      <c r="C56" s="964"/>
      <c r="D56" s="965" t="s">
        <v>383</v>
      </c>
      <c r="E56" s="965"/>
      <c r="F56" s="965"/>
      <c r="G56" s="965"/>
      <c r="H56" s="965"/>
      <c r="I56" s="925"/>
      <c r="J56" s="925"/>
      <c r="K56" s="925"/>
      <c r="L56" s="925"/>
      <c r="M56" s="925"/>
      <c r="N56" s="925"/>
      <c r="O56" s="925"/>
      <c r="P56" s="925"/>
      <c r="Q56" s="925"/>
      <c r="R56" s="925"/>
      <c r="S56" s="925"/>
      <c r="T56" s="925"/>
      <c r="U56" s="925"/>
      <c r="V56" s="925"/>
      <c r="W56" s="925"/>
      <c r="X56" s="925"/>
      <c r="Y56" s="925"/>
      <c r="Z56" s="925"/>
      <c r="AA56" s="925"/>
      <c r="AB56" s="925"/>
      <c r="AC56" s="925"/>
      <c r="AD56" s="925"/>
      <c r="AE56" s="925"/>
      <c r="AF56" s="925"/>
      <c r="AG56" s="925"/>
      <c r="AH56" s="925"/>
      <c r="AI56" s="925"/>
      <c r="AJ56" s="925"/>
      <c r="AK56" s="925"/>
      <c r="AL56" s="925"/>
      <c r="AM56" s="925"/>
      <c r="AN56" s="925"/>
      <c r="AO56" s="925"/>
      <c r="AP56" s="925"/>
      <c r="AQ56" s="925"/>
      <c r="AR56" s="925"/>
      <c r="AS56" s="925"/>
      <c r="AT56" s="925"/>
      <c r="AU56" s="925"/>
      <c r="AV56" s="925"/>
      <c r="AW56" s="925"/>
      <c r="AX56" s="925"/>
      <c r="AY56" s="925"/>
      <c r="AZ56" s="925"/>
      <c r="BA56" s="925"/>
      <c r="BB56" s="925"/>
      <c r="BC56" s="925"/>
      <c r="BD56" s="925"/>
      <c r="BE56" s="925"/>
      <c r="BF56" s="925"/>
      <c r="BG56" s="925"/>
      <c r="BH56" s="925"/>
      <c r="BI56" s="925"/>
      <c r="BJ56" s="925"/>
      <c r="BK56" s="925"/>
      <c r="BL56" s="925"/>
      <c r="BM56" s="925"/>
      <c r="BN56" s="925"/>
      <c r="BO56" s="925"/>
      <c r="BP56" s="925"/>
      <c r="BQ56" s="925"/>
      <c r="BR56" s="925"/>
      <c r="BS56" s="925"/>
      <c r="BT56" s="925"/>
      <c r="BU56" s="925"/>
      <c r="BV56" s="925"/>
      <c r="BW56" s="925"/>
      <c r="BX56" s="925"/>
      <c r="BY56" s="925"/>
      <c r="BZ56" s="925"/>
      <c r="CA56" s="925"/>
      <c r="CB56" s="925"/>
      <c r="CC56" s="925"/>
      <c r="CD56" s="925"/>
      <c r="CE56" s="925"/>
      <c r="CF56" s="925"/>
      <c r="CG56" s="925"/>
      <c r="CH56" s="925"/>
      <c r="CI56" s="925"/>
      <c r="CJ56" s="925"/>
      <c r="CK56" s="925"/>
      <c r="CL56" s="925"/>
      <c r="CM56" s="925"/>
      <c r="CN56" s="925"/>
      <c r="CO56" s="925"/>
      <c r="CP56" s="925"/>
      <c r="CQ56" s="925"/>
      <c r="CR56" s="925"/>
      <c r="CS56" s="925"/>
      <c r="CT56" s="925"/>
      <c r="CU56" s="925"/>
      <c r="CV56" s="925"/>
      <c r="CW56" s="925"/>
      <c r="CX56" s="925"/>
      <c r="CY56" s="925"/>
      <c r="CZ56" s="925"/>
      <c r="DA56" s="925"/>
      <c r="DB56" s="925"/>
      <c r="DC56" s="925"/>
      <c r="DD56" s="925"/>
      <c r="DE56" s="925"/>
      <c r="DF56" s="925"/>
      <c r="DG56" s="925"/>
      <c r="DH56" s="925"/>
      <c r="DI56" s="925"/>
      <c r="DJ56" s="925"/>
      <c r="DK56" s="925"/>
      <c r="DL56" s="925"/>
      <c r="DM56" s="925"/>
      <c r="DN56" s="925"/>
      <c r="DO56" s="925"/>
      <c r="DP56" s="925"/>
      <c r="DQ56" s="925"/>
      <c r="DR56" s="925"/>
      <c r="DS56" s="925"/>
      <c r="DT56" s="925"/>
      <c r="DU56" s="925"/>
      <c r="DV56" s="925"/>
      <c r="DW56" s="925"/>
      <c r="DX56" s="925"/>
      <c r="DY56" s="925"/>
      <c r="DZ56" s="925"/>
      <c r="EA56" s="925"/>
      <c r="EB56" s="925"/>
      <c r="EC56" s="925"/>
      <c r="ED56" s="925"/>
      <c r="EE56" s="925"/>
      <c r="EF56" s="925"/>
      <c r="EG56" s="925"/>
      <c r="EH56" s="925"/>
      <c r="EI56" s="925"/>
      <c r="EJ56" s="925"/>
      <c r="EK56" s="925"/>
      <c r="EL56" s="925"/>
      <c r="EM56" s="925"/>
      <c r="EN56" s="925"/>
      <c r="EO56" s="925"/>
      <c r="EP56" s="925"/>
      <c r="EQ56" s="925"/>
      <c r="ER56" s="925"/>
      <c r="ES56" s="925"/>
      <c r="ET56" s="925"/>
      <c r="EU56" s="925"/>
      <c r="EV56" s="925"/>
      <c r="EW56" s="925"/>
      <c r="EX56" s="925"/>
      <c r="EY56" s="925"/>
      <c r="EZ56" s="925"/>
      <c r="FA56" s="925"/>
      <c r="FB56" s="925"/>
      <c r="FC56" s="925"/>
      <c r="FD56" s="925"/>
      <c r="FE56" s="925"/>
      <c r="FF56" s="925"/>
      <c r="FG56" s="925"/>
      <c r="FH56" s="925"/>
      <c r="FI56" s="925"/>
      <c r="FJ56" s="925"/>
      <c r="FK56" s="925"/>
      <c r="FL56" s="925"/>
      <c r="FM56" s="925"/>
      <c r="FN56" s="925"/>
      <c r="FO56" s="925"/>
      <c r="FP56" s="925"/>
      <c r="FQ56" s="925"/>
      <c r="FR56" s="925"/>
      <c r="FS56" s="925"/>
      <c r="FT56" s="925"/>
      <c r="FU56" s="925"/>
      <c r="FV56" s="925"/>
      <c r="FW56" s="925"/>
      <c r="FX56" s="925"/>
      <c r="FY56" s="925"/>
      <c r="FZ56" s="925"/>
      <c r="GA56" s="925"/>
      <c r="GB56" s="925"/>
      <c r="GC56" s="925"/>
      <c r="GD56" s="925"/>
      <c r="GE56" s="925"/>
      <c r="GF56" s="925"/>
      <c r="GG56" s="925"/>
      <c r="GH56" s="925"/>
      <c r="GI56" s="925"/>
      <c r="GJ56" s="925"/>
      <c r="GK56" s="925"/>
      <c r="GL56" s="925"/>
      <c r="GM56" s="925"/>
      <c r="GN56" s="925"/>
      <c r="GO56" s="925"/>
      <c r="GP56" s="925"/>
      <c r="GQ56" s="925"/>
      <c r="GR56" s="925"/>
      <c r="GS56" s="925"/>
      <c r="GT56" s="925"/>
      <c r="GU56" s="925"/>
      <c r="GV56" s="925"/>
      <c r="GW56" s="925"/>
      <c r="GX56" s="925"/>
      <c r="GY56" s="925"/>
      <c r="GZ56" s="925"/>
      <c r="HA56" s="925"/>
      <c r="HB56" s="925"/>
      <c r="HC56" s="925"/>
      <c r="HD56" s="925"/>
      <c r="HE56" s="925"/>
      <c r="HF56" s="925"/>
      <c r="HG56" s="925"/>
      <c r="HH56" s="925"/>
      <c r="HI56" s="925"/>
      <c r="HJ56" s="925"/>
      <c r="HK56" s="925"/>
      <c r="HL56" s="925"/>
      <c r="HM56" s="925"/>
      <c r="HN56" s="925"/>
      <c r="HO56" s="925"/>
      <c r="HP56" s="925"/>
      <c r="HQ56" s="925"/>
      <c r="HR56" s="925"/>
      <c r="HS56" s="925"/>
      <c r="HT56" s="925"/>
      <c r="HU56" s="925"/>
      <c r="HV56" s="925"/>
      <c r="HW56" s="925"/>
      <c r="HX56" s="925"/>
      <c r="HY56" s="925"/>
      <c r="HZ56" s="925"/>
      <c r="IA56" s="925"/>
      <c r="IB56" s="925"/>
      <c r="IC56" s="925"/>
      <c r="ID56" s="925"/>
      <c r="IE56" s="925"/>
      <c r="IF56" s="925"/>
      <c r="IG56" s="925"/>
      <c r="IH56" s="925"/>
      <c r="II56" s="925"/>
      <c r="IJ56" s="925"/>
      <c r="IK56" s="925"/>
      <c r="IL56" s="925"/>
      <c r="IM56" s="925"/>
      <c r="IN56" s="925"/>
      <c r="IO56" s="925"/>
      <c r="IP56" s="925"/>
      <c r="IQ56" s="925"/>
      <c r="IR56" s="925"/>
      <c r="IS56" s="925"/>
      <c r="IT56" s="925"/>
      <c r="IU56" s="925"/>
      <c r="IV56" s="925"/>
    </row>
    <row r="57" s="923" customFormat="1" ht="20.1" customHeight="1" spans="1:256">
      <c r="A57" s="962" t="s">
        <v>384</v>
      </c>
      <c r="B57" s="963">
        <f>-利润表!B14</f>
        <v>0</v>
      </c>
      <c r="C57" s="964"/>
      <c r="D57" s="941" t="s">
        <v>385</v>
      </c>
      <c r="E57" s="941"/>
      <c r="F57" s="941"/>
      <c r="G57" s="941"/>
      <c r="H57" s="941"/>
      <c r="I57" s="925"/>
      <c r="J57" s="925"/>
      <c r="K57" s="925"/>
      <c r="L57" s="925"/>
      <c r="M57" s="925"/>
      <c r="N57" s="925"/>
      <c r="O57" s="925"/>
      <c r="P57" s="925"/>
      <c r="Q57" s="925"/>
      <c r="R57" s="925"/>
      <c r="S57" s="925"/>
      <c r="T57" s="925"/>
      <c r="U57" s="925"/>
      <c r="V57" s="925"/>
      <c r="W57" s="925"/>
      <c r="X57" s="925"/>
      <c r="Y57" s="925"/>
      <c r="Z57" s="925"/>
      <c r="AA57" s="925"/>
      <c r="AB57" s="925"/>
      <c r="AC57" s="925"/>
      <c r="AD57" s="925"/>
      <c r="AE57" s="925"/>
      <c r="AF57" s="925"/>
      <c r="AG57" s="925"/>
      <c r="AH57" s="925"/>
      <c r="AI57" s="925"/>
      <c r="AJ57" s="925"/>
      <c r="AK57" s="925"/>
      <c r="AL57" s="925"/>
      <c r="AM57" s="925"/>
      <c r="AN57" s="925"/>
      <c r="AO57" s="925"/>
      <c r="AP57" s="925"/>
      <c r="AQ57" s="925"/>
      <c r="AR57" s="925"/>
      <c r="AS57" s="925"/>
      <c r="AT57" s="925"/>
      <c r="AU57" s="925"/>
      <c r="AV57" s="925"/>
      <c r="AW57" s="925"/>
      <c r="AX57" s="925"/>
      <c r="AY57" s="925"/>
      <c r="AZ57" s="925"/>
      <c r="BA57" s="925"/>
      <c r="BB57" s="925"/>
      <c r="BC57" s="925"/>
      <c r="BD57" s="925"/>
      <c r="BE57" s="925"/>
      <c r="BF57" s="925"/>
      <c r="BG57" s="925"/>
      <c r="BH57" s="925"/>
      <c r="BI57" s="925"/>
      <c r="BJ57" s="925"/>
      <c r="BK57" s="925"/>
      <c r="BL57" s="925"/>
      <c r="BM57" s="925"/>
      <c r="BN57" s="925"/>
      <c r="BO57" s="925"/>
      <c r="BP57" s="925"/>
      <c r="BQ57" s="925"/>
      <c r="BR57" s="925"/>
      <c r="BS57" s="925"/>
      <c r="BT57" s="925"/>
      <c r="BU57" s="925"/>
      <c r="BV57" s="925"/>
      <c r="BW57" s="925"/>
      <c r="BX57" s="925"/>
      <c r="BY57" s="925"/>
      <c r="BZ57" s="925"/>
      <c r="CA57" s="925"/>
      <c r="CB57" s="925"/>
      <c r="CC57" s="925"/>
      <c r="CD57" s="925"/>
      <c r="CE57" s="925"/>
      <c r="CF57" s="925"/>
      <c r="CG57" s="925"/>
      <c r="CH57" s="925"/>
      <c r="CI57" s="925"/>
      <c r="CJ57" s="925"/>
      <c r="CK57" s="925"/>
      <c r="CL57" s="925"/>
      <c r="CM57" s="925"/>
      <c r="CN57" s="925"/>
      <c r="CO57" s="925"/>
      <c r="CP57" s="925"/>
      <c r="CQ57" s="925"/>
      <c r="CR57" s="925"/>
      <c r="CS57" s="925"/>
      <c r="CT57" s="925"/>
      <c r="CU57" s="925"/>
      <c r="CV57" s="925"/>
      <c r="CW57" s="925"/>
      <c r="CX57" s="925"/>
      <c r="CY57" s="925"/>
      <c r="CZ57" s="925"/>
      <c r="DA57" s="925"/>
      <c r="DB57" s="925"/>
      <c r="DC57" s="925"/>
      <c r="DD57" s="925"/>
      <c r="DE57" s="925"/>
      <c r="DF57" s="925"/>
      <c r="DG57" s="925"/>
      <c r="DH57" s="925"/>
      <c r="DI57" s="925"/>
      <c r="DJ57" s="925"/>
      <c r="DK57" s="925"/>
      <c r="DL57" s="925"/>
      <c r="DM57" s="925"/>
      <c r="DN57" s="925"/>
      <c r="DO57" s="925"/>
      <c r="DP57" s="925"/>
      <c r="DQ57" s="925"/>
      <c r="DR57" s="925"/>
      <c r="DS57" s="925"/>
      <c r="DT57" s="925"/>
      <c r="DU57" s="925"/>
      <c r="DV57" s="925"/>
      <c r="DW57" s="925"/>
      <c r="DX57" s="925"/>
      <c r="DY57" s="925"/>
      <c r="DZ57" s="925"/>
      <c r="EA57" s="925"/>
      <c r="EB57" s="925"/>
      <c r="EC57" s="925"/>
      <c r="ED57" s="925"/>
      <c r="EE57" s="925"/>
      <c r="EF57" s="925"/>
      <c r="EG57" s="925"/>
      <c r="EH57" s="925"/>
      <c r="EI57" s="925"/>
      <c r="EJ57" s="925"/>
      <c r="EK57" s="925"/>
      <c r="EL57" s="925"/>
      <c r="EM57" s="925"/>
      <c r="EN57" s="925"/>
      <c r="EO57" s="925"/>
      <c r="EP57" s="925"/>
      <c r="EQ57" s="925"/>
      <c r="ER57" s="925"/>
      <c r="ES57" s="925"/>
      <c r="ET57" s="925"/>
      <c r="EU57" s="925"/>
      <c r="EV57" s="925"/>
      <c r="EW57" s="925"/>
      <c r="EX57" s="925"/>
      <c r="EY57" s="925"/>
      <c r="EZ57" s="925"/>
      <c r="FA57" s="925"/>
      <c r="FB57" s="925"/>
      <c r="FC57" s="925"/>
      <c r="FD57" s="925"/>
      <c r="FE57" s="925"/>
      <c r="FF57" s="925"/>
      <c r="FG57" s="925"/>
      <c r="FH57" s="925"/>
      <c r="FI57" s="925"/>
      <c r="FJ57" s="925"/>
      <c r="FK57" s="925"/>
      <c r="FL57" s="925"/>
      <c r="FM57" s="925"/>
      <c r="FN57" s="925"/>
      <c r="FO57" s="925"/>
      <c r="FP57" s="925"/>
      <c r="FQ57" s="925"/>
      <c r="FR57" s="925"/>
      <c r="FS57" s="925"/>
      <c r="FT57" s="925"/>
      <c r="FU57" s="925"/>
      <c r="FV57" s="925"/>
      <c r="FW57" s="925"/>
      <c r="FX57" s="925"/>
      <c r="FY57" s="925"/>
      <c r="FZ57" s="925"/>
      <c r="GA57" s="925"/>
      <c r="GB57" s="925"/>
      <c r="GC57" s="925"/>
      <c r="GD57" s="925"/>
      <c r="GE57" s="925"/>
      <c r="GF57" s="925"/>
      <c r="GG57" s="925"/>
      <c r="GH57" s="925"/>
      <c r="GI57" s="925"/>
      <c r="GJ57" s="925"/>
      <c r="GK57" s="925"/>
      <c r="GL57" s="925"/>
      <c r="GM57" s="925"/>
      <c r="GN57" s="925"/>
      <c r="GO57" s="925"/>
      <c r="GP57" s="925"/>
      <c r="GQ57" s="925"/>
      <c r="GR57" s="925"/>
      <c r="GS57" s="925"/>
      <c r="GT57" s="925"/>
      <c r="GU57" s="925"/>
      <c r="GV57" s="925"/>
      <c r="GW57" s="925"/>
      <c r="GX57" s="925"/>
      <c r="GY57" s="925"/>
      <c r="GZ57" s="925"/>
      <c r="HA57" s="925"/>
      <c r="HB57" s="925"/>
      <c r="HC57" s="925"/>
      <c r="HD57" s="925"/>
      <c r="HE57" s="925"/>
      <c r="HF57" s="925"/>
      <c r="HG57" s="925"/>
      <c r="HH57" s="925"/>
      <c r="HI57" s="925"/>
      <c r="HJ57" s="925"/>
      <c r="HK57" s="925"/>
      <c r="HL57" s="925"/>
      <c r="HM57" s="925"/>
      <c r="HN57" s="925"/>
      <c r="HO57" s="925"/>
      <c r="HP57" s="925"/>
      <c r="HQ57" s="925"/>
      <c r="HR57" s="925"/>
      <c r="HS57" s="925"/>
      <c r="HT57" s="925"/>
      <c r="HU57" s="925"/>
      <c r="HV57" s="925"/>
      <c r="HW57" s="925"/>
      <c r="HX57" s="925"/>
      <c r="HY57" s="925"/>
      <c r="HZ57" s="925"/>
      <c r="IA57" s="925"/>
      <c r="IB57" s="925"/>
      <c r="IC57" s="925"/>
      <c r="ID57" s="925"/>
      <c r="IE57" s="925"/>
      <c r="IF57" s="925"/>
      <c r="IG57" s="925"/>
      <c r="IH57" s="925"/>
      <c r="II57" s="925"/>
      <c r="IJ57" s="925"/>
      <c r="IK57" s="925"/>
      <c r="IL57" s="925"/>
      <c r="IM57" s="925"/>
      <c r="IN57" s="925"/>
      <c r="IO57" s="925"/>
      <c r="IP57" s="925"/>
      <c r="IQ57" s="925"/>
      <c r="IR57" s="925"/>
      <c r="IS57" s="925"/>
      <c r="IT57" s="925"/>
      <c r="IU57" s="925"/>
      <c r="IV57" s="925"/>
    </row>
    <row r="58" s="923" customFormat="1" ht="20.1" customHeight="1" spans="1:256">
      <c r="A58" s="962" t="s">
        <v>386</v>
      </c>
      <c r="B58" s="963">
        <f>资产负债表!C34-资产负债表!B34</f>
        <v>0</v>
      </c>
      <c r="C58" s="964"/>
      <c r="D58" s="941"/>
      <c r="E58" s="941"/>
      <c r="F58" s="941"/>
      <c r="G58" s="941"/>
      <c r="H58" s="941"/>
      <c r="I58" s="925"/>
      <c r="J58" s="925"/>
      <c r="K58" s="925"/>
      <c r="L58" s="925"/>
      <c r="M58" s="925"/>
      <c r="N58" s="925"/>
      <c r="O58" s="925"/>
      <c r="P58" s="925"/>
      <c r="Q58" s="925"/>
      <c r="R58" s="925"/>
      <c r="S58" s="925"/>
      <c r="T58" s="925"/>
      <c r="U58" s="925"/>
      <c r="V58" s="925"/>
      <c r="W58" s="925"/>
      <c r="X58" s="925"/>
      <c r="Y58" s="925"/>
      <c r="Z58" s="925"/>
      <c r="AA58" s="925"/>
      <c r="AB58" s="925"/>
      <c r="AC58" s="925"/>
      <c r="AD58" s="925"/>
      <c r="AE58" s="925"/>
      <c r="AF58" s="925"/>
      <c r="AG58" s="925"/>
      <c r="AH58" s="925"/>
      <c r="AI58" s="925"/>
      <c r="AJ58" s="925"/>
      <c r="AK58" s="925"/>
      <c r="AL58" s="925"/>
      <c r="AM58" s="925"/>
      <c r="AN58" s="925"/>
      <c r="AO58" s="925"/>
      <c r="AP58" s="925"/>
      <c r="AQ58" s="925"/>
      <c r="AR58" s="925"/>
      <c r="AS58" s="925"/>
      <c r="AT58" s="925"/>
      <c r="AU58" s="925"/>
      <c r="AV58" s="925"/>
      <c r="AW58" s="925"/>
      <c r="AX58" s="925"/>
      <c r="AY58" s="925"/>
      <c r="AZ58" s="925"/>
      <c r="BA58" s="925"/>
      <c r="BB58" s="925"/>
      <c r="BC58" s="925"/>
      <c r="BD58" s="925"/>
      <c r="BE58" s="925"/>
      <c r="BF58" s="925"/>
      <c r="BG58" s="925"/>
      <c r="BH58" s="925"/>
      <c r="BI58" s="925"/>
      <c r="BJ58" s="925"/>
      <c r="BK58" s="925"/>
      <c r="BL58" s="925"/>
      <c r="BM58" s="925"/>
      <c r="BN58" s="925"/>
      <c r="BO58" s="925"/>
      <c r="BP58" s="925"/>
      <c r="BQ58" s="925"/>
      <c r="BR58" s="925"/>
      <c r="BS58" s="925"/>
      <c r="BT58" s="925"/>
      <c r="BU58" s="925"/>
      <c r="BV58" s="925"/>
      <c r="BW58" s="925"/>
      <c r="BX58" s="925"/>
      <c r="BY58" s="925"/>
      <c r="BZ58" s="925"/>
      <c r="CA58" s="925"/>
      <c r="CB58" s="925"/>
      <c r="CC58" s="925"/>
      <c r="CD58" s="925"/>
      <c r="CE58" s="925"/>
      <c r="CF58" s="925"/>
      <c r="CG58" s="925"/>
      <c r="CH58" s="925"/>
      <c r="CI58" s="925"/>
      <c r="CJ58" s="925"/>
      <c r="CK58" s="925"/>
      <c r="CL58" s="925"/>
      <c r="CM58" s="925"/>
      <c r="CN58" s="925"/>
      <c r="CO58" s="925"/>
      <c r="CP58" s="925"/>
      <c r="CQ58" s="925"/>
      <c r="CR58" s="925"/>
      <c r="CS58" s="925"/>
      <c r="CT58" s="925"/>
      <c r="CU58" s="925"/>
      <c r="CV58" s="925"/>
      <c r="CW58" s="925"/>
      <c r="CX58" s="925"/>
      <c r="CY58" s="925"/>
      <c r="CZ58" s="925"/>
      <c r="DA58" s="925"/>
      <c r="DB58" s="925"/>
      <c r="DC58" s="925"/>
      <c r="DD58" s="925"/>
      <c r="DE58" s="925"/>
      <c r="DF58" s="925"/>
      <c r="DG58" s="925"/>
      <c r="DH58" s="925"/>
      <c r="DI58" s="925"/>
      <c r="DJ58" s="925"/>
      <c r="DK58" s="925"/>
      <c r="DL58" s="925"/>
      <c r="DM58" s="925"/>
      <c r="DN58" s="925"/>
      <c r="DO58" s="925"/>
      <c r="DP58" s="925"/>
      <c r="DQ58" s="925"/>
      <c r="DR58" s="925"/>
      <c r="DS58" s="925"/>
      <c r="DT58" s="925"/>
      <c r="DU58" s="925"/>
      <c r="DV58" s="925"/>
      <c r="DW58" s="925"/>
      <c r="DX58" s="925"/>
      <c r="DY58" s="925"/>
      <c r="DZ58" s="925"/>
      <c r="EA58" s="925"/>
      <c r="EB58" s="925"/>
      <c r="EC58" s="925"/>
      <c r="ED58" s="925"/>
      <c r="EE58" s="925"/>
      <c r="EF58" s="925"/>
      <c r="EG58" s="925"/>
      <c r="EH58" s="925"/>
      <c r="EI58" s="925"/>
      <c r="EJ58" s="925"/>
      <c r="EK58" s="925"/>
      <c r="EL58" s="925"/>
      <c r="EM58" s="925"/>
      <c r="EN58" s="925"/>
      <c r="EO58" s="925"/>
      <c r="EP58" s="925"/>
      <c r="EQ58" s="925"/>
      <c r="ER58" s="925"/>
      <c r="ES58" s="925"/>
      <c r="ET58" s="925"/>
      <c r="EU58" s="925"/>
      <c r="EV58" s="925"/>
      <c r="EW58" s="925"/>
      <c r="EX58" s="925"/>
      <c r="EY58" s="925"/>
      <c r="EZ58" s="925"/>
      <c r="FA58" s="925"/>
      <c r="FB58" s="925"/>
      <c r="FC58" s="925"/>
      <c r="FD58" s="925"/>
      <c r="FE58" s="925"/>
      <c r="FF58" s="925"/>
      <c r="FG58" s="925"/>
      <c r="FH58" s="925"/>
      <c r="FI58" s="925"/>
      <c r="FJ58" s="925"/>
      <c r="FK58" s="925"/>
      <c r="FL58" s="925"/>
      <c r="FM58" s="925"/>
      <c r="FN58" s="925"/>
      <c r="FO58" s="925"/>
      <c r="FP58" s="925"/>
      <c r="FQ58" s="925"/>
      <c r="FR58" s="925"/>
      <c r="FS58" s="925"/>
      <c r="FT58" s="925"/>
      <c r="FU58" s="925"/>
      <c r="FV58" s="925"/>
      <c r="FW58" s="925"/>
      <c r="FX58" s="925"/>
      <c r="FY58" s="925"/>
      <c r="FZ58" s="925"/>
      <c r="GA58" s="925"/>
      <c r="GB58" s="925"/>
      <c r="GC58" s="925"/>
      <c r="GD58" s="925"/>
      <c r="GE58" s="925"/>
      <c r="GF58" s="925"/>
      <c r="GG58" s="925"/>
      <c r="GH58" s="925"/>
      <c r="GI58" s="925"/>
      <c r="GJ58" s="925"/>
      <c r="GK58" s="925"/>
      <c r="GL58" s="925"/>
      <c r="GM58" s="925"/>
      <c r="GN58" s="925"/>
      <c r="GO58" s="925"/>
      <c r="GP58" s="925"/>
      <c r="GQ58" s="925"/>
      <c r="GR58" s="925"/>
      <c r="GS58" s="925"/>
      <c r="GT58" s="925"/>
      <c r="GU58" s="925"/>
      <c r="GV58" s="925"/>
      <c r="GW58" s="925"/>
      <c r="GX58" s="925"/>
      <c r="GY58" s="925"/>
      <c r="GZ58" s="925"/>
      <c r="HA58" s="925"/>
      <c r="HB58" s="925"/>
      <c r="HC58" s="925"/>
      <c r="HD58" s="925"/>
      <c r="HE58" s="925"/>
      <c r="HF58" s="925"/>
      <c r="HG58" s="925"/>
      <c r="HH58" s="925"/>
      <c r="HI58" s="925"/>
      <c r="HJ58" s="925"/>
      <c r="HK58" s="925"/>
      <c r="HL58" s="925"/>
      <c r="HM58" s="925"/>
      <c r="HN58" s="925"/>
      <c r="HO58" s="925"/>
      <c r="HP58" s="925"/>
      <c r="HQ58" s="925"/>
      <c r="HR58" s="925"/>
      <c r="HS58" s="925"/>
      <c r="HT58" s="925"/>
      <c r="HU58" s="925"/>
      <c r="HV58" s="925"/>
      <c r="HW58" s="925"/>
      <c r="HX58" s="925"/>
      <c r="HY58" s="925"/>
      <c r="HZ58" s="925"/>
      <c r="IA58" s="925"/>
      <c r="IB58" s="925"/>
      <c r="IC58" s="925"/>
      <c r="ID58" s="925"/>
      <c r="IE58" s="925"/>
      <c r="IF58" s="925"/>
      <c r="IG58" s="925"/>
      <c r="IH58" s="925"/>
      <c r="II58" s="925"/>
      <c r="IJ58" s="925"/>
      <c r="IK58" s="925"/>
      <c r="IL58" s="925"/>
      <c r="IM58" s="925"/>
      <c r="IN58" s="925"/>
      <c r="IO58" s="925"/>
      <c r="IP58" s="925"/>
      <c r="IQ58" s="925"/>
      <c r="IR58" s="925"/>
      <c r="IS58" s="925"/>
      <c r="IT58" s="925"/>
      <c r="IU58" s="925"/>
      <c r="IV58" s="925"/>
    </row>
    <row r="59" s="923" customFormat="1" ht="20.1" customHeight="1" spans="1:256">
      <c r="A59" s="962" t="s">
        <v>387</v>
      </c>
      <c r="B59" s="963">
        <f>资产负债表!E25-资产负债表!F25</f>
        <v>0</v>
      </c>
      <c r="C59" s="964"/>
      <c r="D59" s="941" t="s">
        <v>388</v>
      </c>
      <c r="E59" s="941"/>
      <c r="F59" s="941"/>
      <c r="G59" s="941"/>
      <c r="H59" s="941"/>
      <c r="I59" s="925"/>
      <c r="J59" s="925"/>
      <c r="K59" s="925"/>
      <c r="L59" s="925"/>
      <c r="M59" s="925"/>
      <c r="N59" s="925"/>
      <c r="O59" s="925"/>
      <c r="P59" s="925"/>
      <c r="Q59" s="925"/>
      <c r="R59" s="925"/>
      <c r="S59" s="925"/>
      <c r="T59" s="925"/>
      <c r="U59" s="925"/>
      <c r="V59" s="925"/>
      <c r="W59" s="925"/>
      <c r="X59" s="925"/>
      <c r="Y59" s="925"/>
      <c r="Z59" s="925"/>
      <c r="AA59" s="925"/>
      <c r="AB59" s="925"/>
      <c r="AC59" s="925"/>
      <c r="AD59" s="925"/>
      <c r="AE59" s="925"/>
      <c r="AF59" s="925"/>
      <c r="AG59" s="925"/>
      <c r="AH59" s="925"/>
      <c r="AI59" s="925"/>
      <c r="AJ59" s="925"/>
      <c r="AK59" s="925"/>
      <c r="AL59" s="925"/>
      <c r="AM59" s="925"/>
      <c r="AN59" s="925"/>
      <c r="AO59" s="925"/>
      <c r="AP59" s="925"/>
      <c r="AQ59" s="925"/>
      <c r="AR59" s="925"/>
      <c r="AS59" s="925"/>
      <c r="AT59" s="925"/>
      <c r="AU59" s="925"/>
      <c r="AV59" s="925"/>
      <c r="AW59" s="925"/>
      <c r="AX59" s="925"/>
      <c r="AY59" s="925"/>
      <c r="AZ59" s="925"/>
      <c r="BA59" s="925"/>
      <c r="BB59" s="925"/>
      <c r="BC59" s="925"/>
      <c r="BD59" s="925"/>
      <c r="BE59" s="925"/>
      <c r="BF59" s="925"/>
      <c r="BG59" s="925"/>
      <c r="BH59" s="925"/>
      <c r="BI59" s="925"/>
      <c r="BJ59" s="925"/>
      <c r="BK59" s="925"/>
      <c r="BL59" s="925"/>
      <c r="BM59" s="925"/>
      <c r="BN59" s="925"/>
      <c r="BO59" s="925"/>
      <c r="BP59" s="925"/>
      <c r="BQ59" s="925"/>
      <c r="BR59" s="925"/>
      <c r="BS59" s="925"/>
      <c r="BT59" s="925"/>
      <c r="BU59" s="925"/>
      <c r="BV59" s="925"/>
      <c r="BW59" s="925"/>
      <c r="BX59" s="925"/>
      <c r="BY59" s="925"/>
      <c r="BZ59" s="925"/>
      <c r="CA59" s="925"/>
      <c r="CB59" s="925"/>
      <c r="CC59" s="925"/>
      <c r="CD59" s="925"/>
      <c r="CE59" s="925"/>
      <c r="CF59" s="925"/>
      <c r="CG59" s="925"/>
      <c r="CH59" s="925"/>
      <c r="CI59" s="925"/>
      <c r="CJ59" s="925"/>
      <c r="CK59" s="925"/>
      <c r="CL59" s="925"/>
      <c r="CM59" s="925"/>
      <c r="CN59" s="925"/>
      <c r="CO59" s="925"/>
      <c r="CP59" s="925"/>
      <c r="CQ59" s="925"/>
      <c r="CR59" s="925"/>
      <c r="CS59" s="925"/>
      <c r="CT59" s="925"/>
      <c r="CU59" s="925"/>
      <c r="CV59" s="925"/>
      <c r="CW59" s="925"/>
      <c r="CX59" s="925"/>
      <c r="CY59" s="925"/>
      <c r="CZ59" s="925"/>
      <c r="DA59" s="925"/>
      <c r="DB59" s="925"/>
      <c r="DC59" s="925"/>
      <c r="DD59" s="925"/>
      <c r="DE59" s="925"/>
      <c r="DF59" s="925"/>
      <c r="DG59" s="925"/>
      <c r="DH59" s="925"/>
      <c r="DI59" s="925"/>
      <c r="DJ59" s="925"/>
      <c r="DK59" s="925"/>
      <c r="DL59" s="925"/>
      <c r="DM59" s="925"/>
      <c r="DN59" s="925"/>
      <c r="DO59" s="925"/>
      <c r="DP59" s="925"/>
      <c r="DQ59" s="925"/>
      <c r="DR59" s="925"/>
      <c r="DS59" s="925"/>
      <c r="DT59" s="925"/>
      <c r="DU59" s="925"/>
      <c r="DV59" s="925"/>
      <c r="DW59" s="925"/>
      <c r="DX59" s="925"/>
      <c r="DY59" s="925"/>
      <c r="DZ59" s="925"/>
      <c r="EA59" s="925"/>
      <c r="EB59" s="925"/>
      <c r="EC59" s="925"/>
      <c r="ED59" s="925"/>
      <c r="EE59" s="925"/>
      <c r="EF59" s="925"/>
      <c r="EG59" s="925"/>
      <c r="EH59" s="925"/>
      <c r="EI59" s="925"/>
      <c r="EJ59" s="925"/>
      <c r="EK59" s="925"/>
      <c r="EL59" s="925"/>
      <c r="EM59" s="925"/>
      <c r="EN59" s="925"/>
      <c r="EO59" s="925"/>
      <c r="EP59" s="925"/>
      <c r="EQ59" s="925"/>
      <c r="ER59" s="925"/>
      <c r="ES59" s="925"/>
      <c r="ET59" s="925"/>
      <c r="EU59" s="925"/>
      <c r="EV59" s="925"/>
      <c r="EW59" s="925"/>
      <c r="EX59" s="925"/>
      <c r="EY59" s="925"/>
      <c r="EZ59" s="925"/>
      <c r="FA59" s="925"/>
      <c r="FB59" s="925"/>
      <c r="FC59" s="925"/>
      <c r="FD59" s="925"/>
      <c r="FE59" s="925"/>
      <c r="FF59" s="925"/>
      <c r="FG59" s="925"/>
      <c r="FH59" s="925"/>
      <c r="FI59" s="925"/>
      <c r="FJ59" s="925"/>
      <c r="FK59" s="925"/>
      <c r="FL59" s="925"/>
      <c r="FM59" s="925"/>
      <c r="FN59" s="925"/>
      <c r="FO59" s="925"/>
      <c r="FP59" s="925"/>
      <c r="FQ59" s="925"/>
      <c r="FR59" s="925"/>
      <c r="FS59" s="925"/>
      <c r="FT59" s="925"/>
      <c r="FU59" s="925"/>
      <c r="FV59" s="925"/>
      <c r="FW59" s="925"/>
      <c r="FX59" s="925"/>
      <c r="FY59" s="925"/>
      <c r="FZ59" s="925"/>
      <c r="GA59" s="925"/>
      <c r="GB59" s="925"/>
      <c r="GC59" s="925"/>
      <c r="GD59" s="925"/>
      <c r="GE59" s="925"/>
      <c r="GF59" s="925"/>
      <c r="GG59" s="925"/>
      <c r="GH59" s="925"/>
      <c r="GI59" s="925"/>
      <c r="GJ59" s="925"/>
      <c r="GK59" s="925"/>
      <c r="GL59" s="925"/>
      <c r="GM59" s="925"/>
      <c r="GN59" s="925"/>
      <c r="GO59" s="925"/>
      <c r="GP59" s="925"/>
      <c r="GQ59" s="925"/>
      <c r="GR59" s="925"/>
      <c r="GS59" s="925"/>
      <c r="GT59" s="925"/>
      <c r="GU59" s="925"/>
      <c r="GV59" s="925"/>
      <c r="GW59" s="925"/>
      <c r="GX59" s="925"/>
      <c r="GY59" s="925"/>
      <c r="GZ59" s="925"/>
      <c r="HA59" s="925"/>
      <c r="HB59" s="925"/>
      <c r="HC59" s="925"/>
      <c r="HD59" s="925"/>
      <c r="HE59" s="925"/>
      <c r="HF59" s="925"/>
      <c r="HG59" s="925"/>
      <c r="HH59" s="925"/>
      <c r="HI59" s="925"/>
      <c r="HJ59" s="925"/>
      <c r="HK59" s="925"/>
      <c r="HL59" s="925"/>
      <c r="HM59" s="925"/>
      <c r="HN59" s="925"/>
      <c r="HO59" s="925"/>
      <c r="HP59" s="925"/>
      <c r="HQ59" s="925"/>
      <c r="HR59" s="925"/>
      <c r="HS59" s="925"/>
      <c r="HT59" s="925"/>
      <c r="HU59" s="925"/>
      <c r="HV59" s="925"/>
      <c r="HW59" s="925"/>
      <c r="HX59" s="925"/>
      <c r="HY59" s="925"/>
      <c r="HZ59" s="925"/>
      <c r="IA59" s="925"/>
      <c r="IB59" s="925"/>
      <c r="IC59" s="925"/>
      <c r="ID59" s="925"/>
      <c r="IE59" s="925"/>
      <c r="IF59" s="925"/>
      <c r="IG59" s="925"/>
      <c r="IH59" s="925"/>
      <c r="II59" s="925"/>
      <c r="IJ59" s="925"/>
      <c r="IK59" s="925"/>
      <c r="IL59" s="925"/>
      <c r="IM59" s="925"/>
      <c r="IN59" s="925"/>
      <c r="IO59" s="925"/>
      <c r="IP59" s="925"/>
      <c r="IQ59" s="925"/>
      <c r="IR59" s="925"/>
      <c r="IS59" s="925"/>
      <c r="IT59" s="925"/>
      <c r="IU59" s="925"/>
      <c r="IV59" s="925"/>
    </row>
    <row r="60" s="923" customFormat="1" ht="20.1" customHeight="1" spans="1:256">
      <c r="A60" s="962" t="s">
        <v>389</v>
      </c>
      <c r="B60" s="963">
        <f>资产负债表!C14-资产负债表!B14</f>
        <v>313</v>
      </c>
      <c r="C60" s="964"/>
      <c r="D60" s="941"/>
      <c r="E60" s="941"/>
      <c r="F60" s="941"/>
      <c r="G60" s="941"/>
      <c r="H60" s="941"/>
      <c r="I60" s="925"/>
      <c r="J60" s="925"/>
      <c r="K60" s="925"/>
      <c r="L60" s="925"/>
      <c r="M60" s="925"/>
      <c r="N60" s="925"/>
      <c r="O60" s="925"/>
      <c r="P60" s="925"/>
      <c r="Q60" s="925"/>
      <c r="R60" s="925"/>
      <c r="S60" s="925"/>
      <c r="T60" s="925"/>
      <c r="U60" s="925"/>
      <c r="V60" s="925"/>
      <c r="W60" s="925"/>
      <c r="X60" s="925"/>
      <c r="Y60" s="925"/>
      <c r="Z60" s="925"/>
      <c r="AA60" s="925"/>
      <c r="AB60" s="925"/>
      <c r="AC60" s="925"/>
      <c r="AD60" s="925"/>
      <c r="AE60" s="925"/>
      <c r="AF60" s="925"/>
      <c r="AG60" s="925"/>
      <c r="AH60" s="925"/>
      <c r="AI60" s="925"/>
      <c r="AJ60" s="925"/>
      <c r="AK60" s="925"/>
      <c r="AL60" s="925"/>
      <c r="AM60" s="925"/>
      <c r="AN60" s="925"/>
      <c r="AO60" s="925"/>
      <c r="AP60" s="925"/>
      <c r="AQ60" s="925"/>
      <c r="AR60" s="925"/>
      <c r="AS60" s="925"/>
      <c r="AT60" s="925"/>
      <c r="AU60" s="925"/>
      <c r="AV60" s="925"/>
      <c r="AW60" s="925"/>
      <c r="AX60" s="925"/>
      <c r="AY60" s="925"/>
      <c r="AZ60" s="925"/>
      <c r="BA60" s="925"/>
      <c r="BB60" s="925"/>
      <c r="BC60" s="925"/>
      <c r="BD60" s="925"/>
      <c r="BE60" s="925"/>
      <c r="BF60" s="925"/>
      <c r="BG60" s="925"/>
      <c r="BH60" s="925"/>
      <c r="BI60" s="925"/>
      <c r="BJ60" s="925"/>
      <c r="BK60" s="925"/>
      <c r="BL60" s="925"/>
      <c r="BM60" s="925"/>
      <c r="BN60" s="925"/>
      <c r="BO60" s="925"/>
      <c r="BP60" s="925"/>
      <c r="BQ60" s="925"/>
      <c r="BR60" s="925"/>
      <c r="BS60" s="925"/>
      <c r="BT60" s="925"/>
      <c r="BU60" s="925"/>
      <c r="BV60" s="925"/>
      <c r="BW60" s="925"/>
      <c r="BX60" s="925"/>
      <c r="BY60" s="925"/>
      <c r="BZ60" s="925"/>
      <c r="CA60" s="925"/>
      <c r="CB60" s="925"/>
      <c r="CC60" s="925"/>
      <c r="CD60" s="925"/>
      <c r="CE60" s="925"/>
      <c r="CF60" s="925"/>
      <c r="CG60" s="925"/>
      <c r="CH60" s="925"/>
      <c r="CI60" s="925"/>
      <c r="CJ60" s="925"/>
      <c r="CK60" s="925"/>
      <c r="CL60" s="925"/>
      <c r="CM60" s="925"/>
      <c r="CN60" s="925"/>
      <c r="CO60" s="925"/>
      <c r="CP60" s="925"/>
      <c r="CQ60" s="925"/>
      <c r="CR60" s="925"/>
      <c r="CS60" s="925"/>
      <c r="CT60" s="925"/>
      <c r="CU60" s="925"/>
      <c r="CV60" s="925"/>
      <c r="CW60" s="925"/>
      <c r="CX60" s="925"/>
      <c r="CY60" s="925"/>
      <c r="CZ60" s="925"/>
      <c r="DA60" s="925"/>
      <c r="DB60" s="925"/>
      <c r="DC60" s="925"/>
      <c r="DD60" s="925"/>
      <c r="DE60" s="925"/>
      <c r="DF60" s="925"/>
      <c r="DG60" s="925"/>
      <c r="DH60" s="925"/>
      <c r="DI60" s="925"/>
      <c r="DJ60" s="925"/>
      <c r="DK60" s="925"/>
      <c r="DL60" s="925"/>
      <c r="DM60" s="925"/>
      <c r="DN60" s="925"/>
      <c r="DO60" s="925"/>
      <c r="DP60" s="925"/>
      <c r="DQ60" s="925"/>
      <c r="DR60" s="925"/>
      <c r="DS60" s="925"/>
      <c r="DT60" s="925"/>
      <c r="DU60" s="925"/>
      <c r="DV60" s="925"/>
      <c r="DW60" s="925"/>
      <c r="DX60" s="925"/>
      <c r="DY60" s="925"/>
      <c r="DZ60" s="925"/>
      <c r="EA60" s="925"/>
      <c r="EB60" s="925"/>
      <c r="EC60" s="925"/>
      <c r="ED60" s="925"/>
      <c r="EE60" s="925"/>
      <c r="EF60" s="925"/>
      <c r="EG60" s="925"/>
      <c r="EH60" s="925"/>
      <c r="EI60" s="925"/>
      <c r="EJ60" s="925"/>
      <c r="EK60" s="925"/>
      <c r="EL60" s="925"/>
      <c r="EM60" s="925"/>
      <c r="EN60" s="925"/>
      <c r="EO60" s="925"/>
      <c r="EP60" s="925"/>
      <c r="EQ60" s="925"/>
      <c r="ER60" s="925"/>
      <c r="ES60" s="925"/>
      <c r="ET60" s="925"/>
      <c r="EU60" s="925"/>
      <c r="EV60" s="925"/>
      <c r="EW60" s="925"/>
      <c r="EX60" s="925"/>
      <c r="EY60" s="925"/>
      <c r="EZ60" s="925"/>
      <c r="FA60" s="925"/>
      <c r="FB60" s="925"/>
      <c r="FC60" s="925"/>
      <c r="FD60" s="925"/>
      <c r="FE60" s="925"/>
      <c r="FF60" s="925"/>
      <c r="FG60" s="925"/>
      <c r="FH60" s="925"/>
      <c r="FI60" s="925"/>
      <c r="FJ60" s="925"/>
      <c r="FK60" s="925"/>
      <c r="FL60" s="925"/>
      <c r="FM60" s="925"/>
      <c r="FN60" s="925"/>
      <c r="FO60" s="925"/>
      <c r="FP60" s="925"/>
      <c r="FQ60" s="925"/>
      <c r="FR60" s="925"/>
      <c r="FS60" s="925"/>
      <c r="FT60" s="925"/>
      <c r="FU60" s="925"/>
      <c r="FV60" s="925"/>
      <c r="FW60" s="925"/>
      <c r="FX60" s="925"/>
      <c r="FY60" s="925"/>
      <c r="FZ60" s="925"/>
      <c r="GA60" s="925"/>
      <c r="GB60" s="925"/>
      <c r="GC60" s="925"/>
      <c r="GD60" s="925"/>
      <c r="GE60" s="925"/>
      <c r="GF60" s="925"/>
      <c r="GG60" s="925"/>
      <c r="GH60" s="925"/>
      <c r="GI60" s="925"/>
      <c r="GJ60" s="925"/>
      <c r="GK60" s="925"/>
      <c r="GL60" s="925"/>
      <c r="GM60" s="925"/>
      <c r="GN60" s="925"/>
      <c r="GO60" s="925"/>
      <c r="GP60" s="925"/>
      <c r="GQ60" s="925"/>
      <c r="GR60" s="925"/>
      <c r="GS60" s="925"/>
      <c r="GT60" s="925"/>
      <c r="GU60" s="925"/>
      <c r="GV60" s="925"/>
      <c r="GW60" s="925"/>
      <c r="GX60" s="925"/>
      <c r="GY60" s="925"/>
      <c r="GZ60" s="925"/>
      <c r="HA60" s="925"/>
      <c r="HB60" s="925"/>
      <c r="HC60" s="925"/>
      <c r="HD60" s="925"/>
      <c r="HE60" s="925"/>
      <c r="HF60" s="925"/>
      <c r="HG60" s="925"/>
      <c r="HH60" s="925"/>
      <c r="HI60" s="925"/>
      <c r="HJ60" s="925"/>
      <c r="HK60" s="925"/>
      <c r="HL60" s="925"/>
      <c r="HM60" s="925"/>
      <c r="HN60" s="925"/>
      <c r="HO60" s="925"/>
      <c r="HP60" s="925"/>
      <c r="HQ60" s="925"/>
      <c r="HR60" s="925"/>
      <c r="HS60" s="925"/>
      <c r="HT60" s="925"/>
      <c r="HU60" s="925"/>
      <c r="HV60" s="925"/>
      <c r="HW60" s="925"/>
      <c r="HX60" s="925"/>
      <c r="HY60" s="925"/>
      <c r="HZ60" s="925"/>
      <c r="IA60" s="925"/>
      <c r="IB60" s="925"/>
      <c r="IC60" s="925"/>
      <c r="ID60" s="925"/>
      <c r="IE60" s="925"/>
      <c r="IF60" s="925"/>
      <c r="IG60" s="925"/>
      <c r="IH60" s="925"/>
      <c r="II60" s="925"/>
      <c r="IJ60" s="925"/>
      <c r="IK60" s="925"/>
      <c r="IL60" s="925"/>
      <c r="IM60" s="925"/>
      <c r="IN60" s="925"/>
      <c r="IO60" s="925"/>
      <c r="IP60" s="925"/>
      <c r="IQ60" s="925"/>
      <c r="IR60" s="925"/>
      <c r="IS60" s="925"/>
      <c r="IT60" s="925"/>
      <c r="IU60" s="925"/>
      <c r="IV60" s="925"/>
    </row>
    <row r="61" s="923" customFormat="1" ht="20.1" customHeight="1" spans="1:256">
      <c r="A61" s="962" t="s">
        <v>390</v>
      </c>
      <c r="B61" s="963">
        <f>资产负债表!C8-资产负债表!B8+资产负债表!C9-资产负债表!B9+资产负债表!C10-资产负债表!B10+资产负债表!C11-资产负债表!B11+资产负债表!C12-资产负债表!B12+资产负债表!C13-资产负债表!B13</f>
        <v>46561</v>
      </c>
      <c r="C61" s="964"/>
      <c r="D61" s="941" t="s">
        <v>391</v>
      </c>
      <c r="E61" s="941"/>
      <c r="F61" s="941"/>
      <c r="G61" s="941"/>
      <c r="H61" s="941"/>
      <c r="I61" s="925"/>
      <c r="J61" s="925"/>
      <c r="K61" s="925"/>
      <c r="L61" s="925"/>
      <c r="M61" s="925"/>
      <c r="N61" s="925"/>
      <c r="O61" s="925"/>
      <c r="P61" s="925"/>
      <c r="Q61" s="925"/>
      <c r="R61" s="925"/>
      <c r="S61" s="925"/>
      <c r="T61" s="925"/>
      <c r="U61" s="925"/>
      <c r="V61" s="925"/>
      <c r="W61" s="925"/>
      <c r="X61" s="925"/>
      <c r="Y61" s="925"/>
      <c r="Z61" s="925"/>
      <c r="AA61" s="925"/>
      <c r="AB61" s="925"/>
      <c r="AC61" s="925"/>
      <c r="AD61" s="925"/>
      <c r="AE61" s="925"/>
      <c r="AF61" s="925"/>
      <c r="AG61" s="925"/>
      <c r="AH61" s="925"/>
      <c r="AI61" s="925"/>
      <c r="AJ61" s="925"/>
      <c r="AK61" s="925"/>
      <c r="AL61" s="925"/>
      <c r="AM61" s="925"/>
      <c r="AN61" s="925"/>
      <c r="AO61" s="925"/>
      <c r="AP61" s="925"/>
      <c r="AQ61" s="925"/>
      <c r="AR61" s="925"/>
      <c r="AS61" s="925"/>
      <c r="AT61" s="925"/>
      <c r="AU61" s="925"/>
      <c r="AV61" s="925"/>
      <c r="AW61" s="925"/>
      <c r="AX61" s="925"/>
      <c r="AY61" s="925"/>
      <c r="AZ61" s="925"/>
      <c r="BA61" s="925"/>
      <c r="BB61" s="925"/>
      <c r="BC61" s="925"/>
      <c r="BD61" s="925"/>
      <c r="BE61" s="925"/>
      <c r="BF61" s="925"/>
      <c r="BG61" s="925"/>
      <c r="BH61" s="925"/>
      <c r="BI61" s="925"/>
      <c r="BJ61" s="925"/>
      <c r="BK61" s="925"/>
      <c r="BL61" s="925"/>
      <c r="BM61" s="925"/>
      <c r="BN61" s="925"/>
      <c r="BO61" s="925"/>
      <c r="BP61" s="925"/>
      <c r="BQ61" s="925"/>
      <c r="BR61" s="925"/>
      <c r="BS61" s="925"/>
      <c r="BT61" s="925"/>
      <c r="BU61" s="925"/>
      <c r="BV61" s="925"/>
      <c r="BW61" s="925"/>
      <c r="BX61" s="925"/>
      <c r="BY61" s="925"/>
      <c r="BZ61" s="925"/>
      <c r="CA61" s="925"/>
      <c r="CB61" s="925"/>
      <c r="CC61" s="925"/>
      <c r="CD61" s="925"/>
      <c r="CE61" s="925"/>
      <c r="CF61" s="925"/>
      <c r="CG61" s="925"/>
      <c r="CH61" s="925"/>
      <c r="CI61" s="925"/>
      <c r="CJ61" s="925"/>
      <c r="CK61" s="925"/>
      <c r="CL61" s="925"/>
      <c r="CM61" s="925"/>
      <c r="CN61" s="925"/>
      <c r="CO61" s="925"/>
      <c r="CP61" s="925"/>
      <c r="CQ61" s="925"/>
      <c r="CR61" s="925"/>
      <c r="CS61" s="925"/>
      <c r="CT61" s="925"/>
      <c r="CU61" s="925"/>
      <c r="CV61" s="925"/>
      <c r="CW61" s="925"/>
      <c r="CX61" s="925"/>
      <c r="CY61" s="925"/>
      <c r="CZ61" s="925"/>
      <c r="DA61" s="925"/>
      <c r="DB61" s="925"/>
      <c r="DC61" s="925"/>
      <c r="DD61" s="925"/>
      <c r="DE61" s="925"/>
      <c r="DF61" s="925"/>
      <c r="DG61" s="925"/>
      <c r="DH61" s="925"/>
      <c r="DI61" s="925"/>
      <c r="DJ61" s="925"/>
      <c r="DK61" s="925"/>
      <c r="DL61" s="925"/>
      <c r="DM61" s="925"/>
      <c r="DN61" s="925"/>
      <c r="DO61" s="925"/>
      <c r="DP61" s="925"/>
      <c r="DQ61" s="925"/>
      <c r="DR61" s="925"/>
      <c r="DS61" s="925"/>
      <c r="DT61" s="925"/>
      <c r="DU61" s="925"/>
      <c r="DV61" s="925"/>
      <c r="DW61" s="925"/>
      <c r="DX61" s="925"/>
      <c r="DY61" s="925"/>
      <c r="DZ61" s="925"/>
      <c r="EA61" s="925"/>
      <c r="EB61" s="925"/>
      <c r="EC61" s="925"/>
      <c r="ED61" s="925"/>
      <c r="EE61" s="925"/>
      <c r="EF61" s="925"/>
      <c r="EG61" s="925"/>
      <c r="EH61" s="925"/>
      <c r="EI61" s="925"/>
      <c r="EJ61" s="925"/>
      <c r="EK61" s="925"/>
      <c r="EL61" s="925"/>
      <c r="EM61" s="925"/>
      <c r="EN61" s="925"/>
      <c r="EO61" s="925"/>
      <c r="EP61" s="925"/>
      <c r="EQ61" s="925"/>
      <c r="ER61" s="925"/>
      <c r="ES61" s="925"/>
      <c r="ET61" s="925"/>
      <c r="EU61" s="925"/>
      <c r="EV61" s="925"/>
      <c r="EW61" s="925"/>
      <c r="EX61" s="925"/>
      <c r="EY61" s="925"/>
      <c r="EZ61" s="925"/>
      <c r="FA61" s="925"/>
      <c r="FB61" s="925"/>
      <c r="FC61" s="925"/>
      <c r="FD61" s="925"/>
      <c r="FE61" s="925"/>
      <c r="FF61" s="925"/>
      <c r="FG61" s="925"/>
      <c r="FH61" s="925"/>
      <c r="FI61" s="925"/>
      <c r="FJ61" s="925"/>
      <c r="FK61" s="925"/>
      <c r="FL61" s="925"/>
      <c r="FM61" s="925"/>
      <c r="FN61" s="925"/>
      <c r="FO61" s="925"/>
      <c r="FP61" s="925"/>
      <c r="FQ61" s="925"/>
      <c r="FR61" s="925"/>
      <c r="FS61" s="925"/>
      <c r="FT61" s="925"/>
      <c r="FU61" s="925"/>
      <c r="FV61" s="925"/>
      <c r="FW61" s="925"/>
      <c r="FX61" s="925"/>
      <c r="FY61" s="925"/>
      <c r="FZ61" s="925"/>
      <c r="GA61" s="925"/>
      <c r="GB61" s="925"/>
      <c r="GC61" s="925"/>
      <c r="GD61" s="925"/>
      <c r="GE61" s="925"/>
      <c r="GF61" s="925"/>
      <c r="GG61" s="925"/>
      <c r="GH61" s="925"/>
      <c r="GI61" s="925"/>
      <c r="GJ61" s="925"/>
      <c r="GK61" s="925"/>
      <c r="GL61" s="925"/>
      <c r="GM61" s="925"/>
      <c r="GN61" s="925"/>
      <c r="GO61" s="925"/>
      <c r="GP61" s="925"/>
      <c r="GQ61" s="925"/>
      <c r="GR61" s="925"/>
      <c r="GS61" s="925"/>
      <c r="GT61" s="925"/>
      <c r="GU61" s="925"/>
      <c r="GV61" s="925"/>
      <c r="GW61" s="925"/>
      <c r="GX61" s="925"/>
      <c r="GY61" s="925"/>
      <c r="GZ61" s="925"/>
      <c r="HA61" s="925"/>
      <c r="HB61" s="925"/>
      <c r="HC61" s="925"/>
      <c r="HD61" s="925"/>
      <c r="HE61" s="925"/>
      <c r="HF61" s="925"/>
      <c r="HG61" s="925"/>
      <c r="HH61" s="925"/>
      <c r="HI61" s="925"/>
      <c r="HJ61" s="925"/>
      <c r="HK61" s="925"/>
      <c r="HL61" s="925"/>
      <c r="HM61" s="925"/>
      <c r="HN61" s="925"/>
      <c r="HO61" s="925"/>
      <c r="HP61" s="925"/>
      <c r="HQ61" s="925"/>
      <c r="HR61" s="925"/>
      <c r="HS61" s="925"/>
      <c r="HT61" s="925"/>
      <c r="HU61" s="925"/>
      <c r="HV61" s="925"/>
      <c r="HW61" s="925"/>
      <c r="HX61" s="925"/>
      <c r="HY61" s="925"/>
      <c r="HZ61" s="925"/>
      <c r="IA61" s="925"/>
      <c r="IB61" s="925"/>
      <c r="IC61" s="925"/>
      <c r="ID61" s="925"/>
      <c r="IE61" s="925"/>
      <c r="IF61" s="925"/>
      <c r="IG61" s="925"/>
      <c r="IH61" s="925"/>
      <c r="II61" s="925"/>
      <c r="IJ61" s="925"/>
      <c r="IK61" s="925"/>
      <c r="IL61" s="925"/>
      <c r="IM61" s="925"/>
      <c r="IN61" s="925"/>
      <c r="IO61" s="925"/>
      <c r="IP61" s="925"/>
      <c r="IQ61" s="925"/>
      <c r="IR61" s="925"/>
      <c r="IS61" s="925"/>
      <c r="IT61" s="925"/>
      <c r="IU61" s="925"/>
      <c r="IV61" s="925"/>
    </row>
    <row r="62" s="923" customFormat="1" ht="20.1" customHeight="1" spans="1:256">
      <c r="A62" s="962" t="s">
        <v>392</v>
      </c>
      <c r="B62" s="963">
        <f ca="1">SUM(资产负债表!E8:资产负债表!E15)-SUM(资产负债表!F8:资产负债表!F15)</f>
        <v>-361752</v>
      </c>
      <c r="C62" s="964"/>
      <c r="D62" s="941"/>
      <c r="E62" s="941"/>
      <c r="F62" s="941"/>
      <c r="G62" s="941"/>
      <c r="H62" s="941"/>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5"/>
      <c r="AK62" s="925"/>
      <c r="AL62" s="925"/>
      <c r="AM62" s="925"/>
      <c r="AN62" s="925"/>
      <c r="AO62" s="925"/>
      <c r="AP62" s="925"/>
      <c r="AQ62" s="925"/>
      <c r="AR62" s="925"/>
      <c r="AS62" s="925"/>
      <c r="AT62" s="925"/>
      <c r="AU62" s="925"/>
      <c r="AV62" s="925"/>
      <c r="AW62" s="925"/>
      <c r="AX62" s="925"/>
      <c r="AY62" s="925"/>
      <c r="AZ62" s="925"/>
      <c r="BA62" s="925"/>
      <c r="BB62" s="925"/>
      <c r="BC62" s="925"/>
      <c r="BD62" s="925"/>
      <c r="BE62" s="925"/>
      <c r="BF62" s="925"/>
      <c r="BG62" s="925"/>
      <c r="BH62" s="925"/>
      <c r="BI62" s="925"/>
      <c r="BJ62" s="925"/>
      <c r="BK62" s="925"/>
      <c r="BL62" s="925"/>
      <c r="BM62" s="925"/>
      <c r="BN62" s="925"/>
      <c r="BO62" s="925"/>
      <c r="BP62" s="925"/>
      <c r="BQ62" s="925"/>
      <c r="BR62" s="925"/>
      <c r="BS62" s="925"/>
      <c r="BT62" s="925"/>
      <c r="BU62" s="925"/>
      <c r="BV62" s="925"/>
      <c r="BW62" s="925"/>
      <c r="BX62" s="925"/>
      <c r="BY62" s="925"/>
      <c r="BZ62" s="925"/>
      <c r="CA62" s="925"/>
      <c r="CB62" s="925"/>
      <c r="CC62" s="925"/>
      <c r="CD62" s="925"/>
      <c r="CE62" s="925"/>
      <c r="CF62" s="925"/>
      <c r="CG62" s="925"/>
      <c r="CH62" s="925"/>
      <c r="CI62" s="925"/>
      <c r="CJ62" s="925"/>
      <c r="CK62" s="925"/>
      <c r="CL62" s="925"/>
      <c r="CM62" s="925"/>
      <c r="CN62" s="925"/>
      <c r="CO62" s="925"/>
      <c r="CP62" s="925"/>
      <c r="CQ62" s="925"/>
      <c r="CR62" s="925"/>
      <c r="CS62" s="925"/>
      <c r="CT62" s="925"/>
      <c r="CU62" s="925"/>
      <c r="CV62" s="925"/>
      <c r="CW62" s="925"/>
      <c r="CX62" s="925"/>
      <c r="CY62" s="925"/>
      <c r="CZ62" s="925"/>
      <c r="DA62" s="925"/>
      <c r="DB62" s="925"/>
      <c r="DC62" s="925"/>
      <c r="DD62" s="925"/>
      <c r="DE62" s="925"/>
      <c r="DF62" s="925"/>
      <c r="DG62" s="925"/>
      <c r="DH62" s="925"/>
      <c r="DI62" s="925"/>
      <c r="DJ62" s="925"/>
      <c r="DK62" s="925"/>
      <c r="DL62" s="925"/>
      <c r="DM62" s="925"/>
      <c r="DN62" s="925"/>
      <c r="DO62" s="925"/>
      <c r="DP62" s="925"/>
      <c r="DQ62" s="925"/>
      <c r="DR62" s="925"/>
      <c r="DS62" s="925"/>
      <c r="DT62" s="925"/>
      <c r="DU62" s="925"/>
      <c r="DV62" s="925"/>
      <c r="DW62" s="925"/>
      <c r="DX62" s="925"/>
      <c r="DY62" s="925"/>
      <c r="DZ62" s="925"/>
      <c r="EA62" s="925"/>
      <c r="EB62" s="925"/>
      <c r="EC62" s="925"/>
      <c r="ED62" s="925"/>
      <c r="EE62" s="925"/>
      <c r="EF62" s="925"/>
      <c r="EG62" s="925"/>
      <c r="EH62" s="925"/>
      <c r="EI62" s="925"/>
      <c r="EJ62" s="925"/>
      <c r="EK62" s="925"/>
      <c r="EL62" s="925"/>
      <c r="EM62" s="925"/>
      <c r="EN62" s="925"/>
      <c r="EO62" s="925"/>
      <c r="EP62" s="925"/>
      <c r="EQ62" s="925"/>
      <c r="ER62" s="925"/>
      <c r="ES62" s="925"/>
      <c r="ET62" s="925"/>
      <c r="EU62" s="925"/>
      <c r="EV62" s="925"/>
      <c r="EW62" s="925"/>
      <c r="EX62" s="925"/>
      <c r="EY62" s="925"/>
      <c r="EZ62" s="925"/>
      <c r="FA62" s="925"/>
      <c r="FB62" s="925"/>
      <c r="FC62" s="925"/>
      <c r="FD62" s="925"/>
      <c r="FE62" s="925"/>
      <c r="FF62" s="925"/>
      <c r="FG62" s="925"/>
      <c r="FH62" s="925"/>
      <c r="FI62" s="925"/>
      <c r="FJ62" s="925"/>
      <c r="FK62" s="925"/>
      <c r="FL62" s="925"/>
      <c r="FM62" s="925"/>
      <c r="FN62" s="925"/>
      <c r="FO62" s="925"/>
      <c r="FP62" s="925"/>
      <c r="FQ62" s="925"/>
      <c r="FR62" s="925"/>
      <c r="FS62" s="925"/>
      <c r="FT62" s="925"/>
      <c r="FU62" s="925"/>
      <c r="FV62" s="925"/>
      <c r="FW62" s="925"/>
      <c r="FX62" s="925"/>
      <c r="FY62" s="925"/>
      <c r="FZ62" s="925"/>
      <c r="GA62" s="925"/>
      <c r="GB62" s="925"/>
      <c r="GC62" s="925"/>
      <c r="GD62" s="925"/>
      <c r="GE62" s="925"/>
      <c r="GF62" s="925"/>
      <c r="GG62" s="925"/>
      <c r="GH62" s="925"/>
      <c r="GI62" s="925"/>
      <c r="GJ62" s="925"/>
      <c r="GK62" s="925"/>
      <c r="GL62" s="925"/>
      <c r="GM62" s="925"/>
      <c r="GN62" s="925"/>
      <c r="GO62" s="925"/>
      <c r="GP62" s="925"/>
      <c r="GQ62" s="925"/>
      <c r="GR62" s="925"/>
      <c r="GS62" s="925"/>
      <c r="GT62" s="925"/>
      <c r="GU62" s="925"/>
      <c r="GV62" s="925"/>
      <c r="GW62" s="925"/>
      <c r="GX62" s="925"/>
      <c r="GY62" s="925"/>
      <c r="GZ62" s="925"/>
      <c r="HA62" s="925"/>
      <c r="HB62" s="925"/>
      <c r="HC62" s="925"/>
      <c r="HD62" s="925"/>
      <c r="HE62" s="925"/>
      <c r="HF62" s="925"/>
      <c r="HG62" s="925"/>
      <c r="HH62" s="925"/>
      <c r="HI62" s="925"/>
      <c r="HJ62" s="925"/>
      <c r="HK62" s="925"/>
      <c r="HL62" s="925"/>
      <c r="HM62" s="925"/>
      <c r="HN62" s="925"/>
      <c r="HO62" s="925"/>
      <c r="HP62" s="925"/>
      <c r="HQ62" s="925"/>
      <c r="HR62" s="925"/>
      <c r="HS62" s="925"/>
      <c r="HT62" s="925"/>
      <c r="HU62" s="925"/>
      <c r="HV62" s="925"/>
      <c r="HW62" s="925"/>
      <c r="HX62" s="925"/>
      <c r="HY62" s="925"/>
      <c r="HZ62" s="925"/>
      <c r="IA62" s="925"/>
      <c r="IB62" s="925"/>
      <c r="IC62" s="925"/>
      <c r="ID62" s="925"/>
      <c r="IE62" s="925"/>
      <c r="IF62" s="925"/>
      <c r="IG62" s="925"/>
      <c r="IH62" s="925"/>
      <c r="II62" s="925"/>
      <c r="IJ62" s="925"/>
      <c r="IK62" s="925"/>
      <c r="IL62" s="925"/>
      <c r="IM62" s="925"/>
      <c r="IN62" s="925"/>
      <c r="IO62" s="925"/>
      <c r="IP62" s="925"/>
      <c r="IQ62" s="925"/>
      <c r="IR62" s="925"/>
      <c r="IS62" s="925"/>
      <c r="IT62" s="925"/>
      <c r="IU62" s="925"/>
      <c r="IV62" s="925"/>
    </row>
    <row r="63" s="923" customFormat="1" ht="20.1" customHeight="1" spans="1:256">
      <c r="A63" s="962" t="s">
        <v>393</v>
      </c>
      <c r="B63" s="963">
        <f ca="1">B64-SUM(B48:B62)</f>
        <v>-207935.884422111</v>
      </c>
      <c r="C63" s="964"/>
      <c r="D63" s="934" t="s">
        <v>394</v>
      </c>
      <c r="E63" s="934"/>
      <c r="F63" s="941" t="s">
        <v>395</v>
      </c>
      <c r="G63" s="941"/>
      <c r="H63" s="941"/>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5"/>
      <c r="AK63" s="925"/>
      <c r="AL63" s="925"/>
      <c r="AM63" s="925"/>
      <c r="AN63" s="925"/>
      <c r="AO63" s="925"/>
      <c r="AP63" s="925"/>
      <c r="AQ63" s="925"/>
      <c r="AR63" s="925"/>
      <c r="AS63" s="925"/>
      <c r="AT63" s="925"/>
      <c r="AU63" s="925"/>
      <c r="AV63" s="925"/>
      <c r="AW63" s="925"/>
      <c r="AX63" s="925"/>
      <c r="AY63" s="925"/>
      <c r="AZ63" s="925"/>
      <c r="BA63" s="925"/>
      <c r="BB63" s="925"/>
      <c r="BC63" s="925"/>
      <c r="BD63" s="925"/>
      <c r="BE63" s="925"/>
      <c r="BF63" s="925"/>
      <c r="BG63" s="925"/>
      <c r="BH63" s="925"/>
      <c r="BI63" s="925"/>
      <c r="BJ63" s="925"/>
      <c r="BK63" s="925"/>
      <c r="BL63" s="925"/>
      <c r="BM63" s="925"/>
      <c r="BN63" s="925"/>
      <c r="BO63" s="925"/>
      <c r="BP63" s="925"/>
      <c r="BQ63" s="925"/>
      <c r="BR63" s="925"/>
      <c r="BS63" s="925"/>
      <c r="BT63" s="925"/>
      <c r="BU63" s="925"/>
      <c r="BV63" s="925"/>
      <c r="BW63" s="925"/>
      <c r="BX63" s="925"/>
      <c r="BY63" s="925"/>
      <c r="BZ63" s="925"/>
      <c r="CA63" s="925"/>
      <c r="CB63" s="925"/>
      <c r="CC63" s="925"/>
      <c r="CD63" s="925"/>
      <c r="CE63" s="925"/>
      <c r="CF63" s="925"/>
      <c r="CG63" s="925"/>
      <c r="CH63" s="925"/>
      <c r="CI63" s="925"/>
      <c r="CJ63" s="925"/>
      <c r="CK63" s="925"/>
      <c r="CL63" s="925"/>
      <c r="CM63" s="925"/>
      <c r="CN63" s="925"/>
      <c r="CO63" s="925"/>
      <c r="CP63" s="925"/>
      <c r="CQ63" s="925"/>
      <c r="CR63" s="925"/>
      <c r="CS63" s="925"/>
      <c r="CT63" s="925"/>
      <c r="CU63" s="925"/>
      <c r="CV63" s="925"/>
      <c r="CW63" s="925"/>
      <c r="CX63" s="925"/>
      <c r="CY63" s="925"/>
      <c r="CZ63" s="925"/>
      <c r="DA63" s="925"/>
      <c r="DB63" s="925"/>
      <c r="DC63" s="925"/>
      <c r="DD63" s="925"/>
      <c r="DE63" s="925"/>
      <c r="DF63" s="925"/>
      <c r="DG63" s="925"/>
      <c r="DH63" s="925"/>
      <c r="DI63" s="925"/>
      <c r="DJ63" s="925"/>
      <c r="DK63" s="925"/>
      <c r="DL63" s="925"/>
      <c r="DM63" s="925"/>
      <c r="DN63" s="925"/>
      <c r="DO63" s="925"/>
      <c r="DP63" s="925"/>
      <c r="DQ63" s="925"/>
      <c r="DR63" s="925"/>
      <c r="DS63" s="925"/>
      <c r="DT63" s="925"/>
      <c r="DU63" s="925"/>
      <c r="DV63" s="925"/>
      <c r="DW63" s="925"/>
      <c r="DX63" s="925"/>
      <c r="DY63" s="925"/>
      <c r="DZ63" s="925"/>
      <c r="EA63" s="925"/>
      <c r="EB63" s="925"/>
      <c r="EC63" s="925"/>
      <c r="ED63" s="925"/>
      <c r="EE63" s="925"/>
      <c r="EF63" s="925"/>
      <c r="EG63" s="925"/>
      <c r="EH63" s="925"/>
      <c r="EI63" s="925"/>
      <c r="EJ63" s="925"/>
      <c r="EK63" s="925"/>
      <c r="EL63" s="925"/>
      <c r="EM63" s="925"/>
      <c r="EN63" s="925"/>
      <c r="EO63" s="925"/>
      <c r="EP63" s="925"/>
      <c r="EQ63" s="925"/>
      <c r="ER63" s="925"/>
      <c r="ES63" s="925"/>
      <c r="ET63" s="925"/>
      <c r="EU63" s="925"/>
      <c r="EV63" s="925"/>
      <c r="EW63" s="925"/>
      <c r="EX63" s="925"/>
      <c r="EY63" s="925"/>
      <c r="EZ63" s="925"/>
      <c r="FA63" s="925"/>
      <c r="FB63" s="925"/>
      <c r="FC63" s="925"/>
      <c r="FD63" s="925"/>
      <c r="FE63" s="925"/>
      <c r="FF63" s="925"/>
      <c r="FG63" s="925"/>
      <c r="FH63" s="925"/>
      <c r="FI63" s="925"/>
      <c r="FJ63" s="925"/>
      <c r="FK63" s="925"/>
      <c r="FL63" s="925"/>
      <c r="FM63" s="925"/>
      <c r="FN63" s="925"/>
      <c r="FO63" s="925"/>
      <c r="FP63" s="925"/>
      <c r="FQ63" s="925"/>
      <c r="FR63" s="925"/>
      <c r="FS63" s="925"/>
      <c r="FT63" s="925"/>
      <c r="FU63" s="925"/>
      <c r="FV63" s="925"/>
      <c r="FW63" s="925"/>
      <c r="FX63" s="925"/>
      <c r="FY63" s="925"/>
      <c r="FZ63" s="925"/>
      <c r="GA63" s="925"/>
      <c r="GB63" s="925"/>
      <c r="GC63" s="925"/>
      <c r="GD63" s="925"/>
      <c r="GE63" s="925"/>
      <c r="GF63" s="925"/>
      <c r="GG63" s="925"/>
      <c r="GH63" s="925"/>
      <c r="GI63" s="925"/>
      <c r="GJ63" s="925"/>
      <c r="GK63" s="925"/>
      <c r="GL63" s="925"/>
      <c r="GM63" s="925"/>
      <c r="GN63" s="925"/>
      <c r="GO63" s="925"/>
      <c r="GP63" s="925"/>
      <c r="GQ63" s="925"/>
      <c r="GR63" s="925"/>
      <c r="GS63" s="925"/>
      <c r="GT63" s="925"/>
      <c r="GU63" s="925"/>
      <c r="GV63" s="925"/>
      <c r="GW63" s="925"/>
      <c r="GX63" s="925"/>
      <c r="GY63" s="925"/>
      <c r="GZ63" s="925"/>
      <c r="HA63" s="925"/>
      <c r="HB63" s="925"/>
      <c r="HC63" s="925"/>
      <c r="HD63" s="925"/>
      <c r="HE63" s="925"/>
      <c r="HF63" s="925"/>
      <c r="HG63" s="925"/>
      <c r="HH63" s="925"/>
      <c r="HI63" s="925"/>
      <c r="HJ63" s="925"/>
      <c r="HK63" s="925"/>
      <c r="HL63" s="925"/>
      <c r="HM63" s="925"/>
      <c r="HN63" s="925"/>
      <c r="HO63" s="925"/>
      <c r="HP63" s="925"/>
      <c r="HQ63" s="925"/>
      <c r="HR63" s="925"/>
      <c r="HS63" s="925"/>
      <c r="HT63" s="925"/>
      <c r="HU63" s="925"/>
      <c r="HV63" s="925"/>
      <c r="HW63" s="925"/>
      <c r="HX63" s="925"/>
      <c r="HY63" s="925"/>
      <c r="HZ63" s="925"/>
      <c r="IA63" s="925"/>
      <c r="IB63" s="925"/>
      <c r="IC63" s="925"/>
      <c r="ID63" s="925"/>
      <c r="IE63" s="925"/>
      <c r="IF63" s="925"/>
      <c r="IG63" s="925"/>
      <c r="IH63" s="925"/>
      <c r="II63" s="925"/>
      <c r="IJ63" s="925"/>
      <c r="IK63" s="925"/>
      <c r="IL63" s="925"/>
      <c r="IM63" s="925"/>
      <c r="IN63" s="925"/>
      <c r="IO63" s="925"/>
      <c r="IP63" s="925"/>
      <c r="IQ63" s="925"/>
      <c r="IR63" s="925"/>
      <c r="IS63" s="925"/>
      <c r="IT63" s="925"/>
      <c r="IU63" s="925"/>
      <c r="IV63" s="925"/>
    </row>
    <row r="64" s="923" customFormat="1" ht="20.1" customHeight="1" spans="1:256">
      <c r="A64" s="959" t="s">
        <v>396</v>
      </c>
      <c r="B64" s="960">
        <f>B14</f>
        <v>54762</v>
      </c>
      <c r="C64" s="960">
        <f>C14</f>
        <v>0</v>
      </c>
      <c r="D64" s="934"/>
      <c r="E64" s="934"/>
      <c r="F64" s="941"/>
      <c r="G64" s="941"/>
      <c r="H64" s="941"/>
      <c r="I64" s="925"/>
      <c r="J64" s="925"/>
      <c r="K64" s="925"/>
      <c r="L64" s="925"/>
      <c r="M64" s="925"/>
      <c r="N64" s="925"/>
      <c r="O64" s="925"/>
      <c r="P64" s="925"/>
      <c r="Q64" s="925"/>
      <c r="R64" s="925"/>
      <c r="S64" s="925"/>
      <c r="T64" s="925"/>
      <c r="U64" s="925"/>
      <c r="V64" s="925"/>
      <c r="W64" s="925"/>
      <c r="X64" s="925"/>
      <c r="Y64" s="925"/>
      <c r="Z64" s="925"/>
      <c r="AA64" s="925"/>
      <c r="AB64" s="925"/>
      <c r="AC64" s="925"/>
      <c r="AD64" s="925"/>
      <c r="AE64" s="925"/>
      <c r="AF64" s="925"/>
      <c r="AG64" s="925"/>
      <c r="AH64" s="925"/>
      <c r="AI64" s="925"/>
      <c r="AJ64" s="925"/>
      <c r="AK64" s="925"/>
      <c r="AL64" s="925"/>
      <c r="AM64" s="925"/>
      <c r="AN64" s="925"/>
      <c r="AO64" s="925"/>
      <c r="AP64" s="925"/>
      <c r="AQ64" s="925"/>
      <c r="AR64" s="925"/>
      <c r="AS64" s="925"/>
      <c r="AT64" s="925"/>
      <c r="AU64" s="925"/>
      <c r="AV64" s="925"/>
      <c r="AW64" s="925"/>
      <c r="AX64" s="925"/>
      <c r="AY64" s="925"/>
      <c r="AZ64" s="925"/>
      <c r="BA64" s="925"/>
      <c r="BB64" s="925"/>
      <c r="BC64" s="925"/>
      <c r="BD64" s="925"/>
      <c r="BE64" s="925"/>
      <c r="BF64" s="925"/>
      <c r="BG64" s="925"/>
      <c r="BH64" s="925"/>
      <c r="BI64" s="925"/>
      <c r="BJ64" s="925"/>
      <c r="BK64" s="925"/>
      <c r="BL64" s="925"/>
      <c r="BM64" s="925"/>
      <c r="BN64" s="925"/>
      <c r="BO64" s="925"/>
      <c r="BP64" s="925"/>
      <c r="BQ64" s="925"/>
      <c r="BR64" s="925"/>
      <c r="BS64" s="925"/>
      <c r="BT64" s="925"/>
      <c r="BU64" s="925"/>
      <c r="BV64" s="925"/>
      <c r="BW64" s="925"/>
      <c r="BX64" s="925"/>
      <c r="BY64" s="925"/>
      <c r="BZ64" s="925"/>
      <c r="CA64" s="925"/>
      <c r="CB64" s="925"/>
      <c r="CC64" s="925"/>
      <c r="CD64" s="925"/>
      <c r="CE64" s="925"/>
      <c r="CF64" s="925"/>
      <c r="CG64" s="925"/>
      <c r="CH64" s="925"/>
      <c r="CI64" s="925"/>
      <c r="CJ64" s="925"/>
      <c r="CK64" s="925"/>
      <c r="CL64" s="925"/>
      <c r="CM64" s="925"/>
      <c r="CN64" s="925"/>
      <c r="CO64" s="925"/>
      <c r="CP64" s="925"/>
      <c r="CQ64" s="925"/>
      <c r="CR64" s="925"/>
      <c r="CS64" s="925"/>
      <c r="CT64" s="925"/>
      <c r="CU64" s="925"/>
      <c r="CV64" s="925"/>
      <c r="CW64" s="925"/>
      <c r="CX64" s="925"/>
      <c r="CY64" s="925"/>
      <c r="CZ64" s="925"/>
      <c r="DA64" s="925"/>
      <c r="DB64" s="925"/>
      <c r="DC64" s="925"/>
      <c r="DD64" s="925"/>
      <c r="DE64" s="925"/>
      <c r="DF64" s="925"/>
      <c r="DG64" s="925"/>
      <c r="DH64" s="925"/>
      <c r="DI64" s="925"/>
      <c r="DJ64" s="925"/>
      <c r="DK64" s="925"/>
      <c r="DL64" s="925"/>
      <c r="DM64" s="925"/>
      <c r="DN64" s="925"/>
      <c r="DO64" s="925"/>
      <c r="DP64" s="925"/>
      <c r="DQ64" s="925"/>
      <c r="DR64" s="925"/>
      <c r="DS64" s="925"/>
      <c r="DT64" s="925"/>
      <c r="DU64" s="925"/>
      <c r="DV64" s="925"/>
      <c r="DW64" s="925"/>
      <c r="DX64" s="925"/>
      <c r="DY64" s="925"/>
      <c r="DZ64" s="925"/>
      <c r="EA64" s="925"/>
      <c r="EB64" s="925"/>
      <c r="EC64" s="925"/>
      <c r="ED64" s="925"/>
      <c r="EE64" s="925"/>
      <c r="EF64" s="925"/>
      <c r="EG64" s="925"/>
      <c r="EH64" s="925"/>
      <c r="EI64" s="925"/>
      <c r="EJ64" s="925"/>
      <c r="EK64" s="925"/>
      <c r="EL64" s="925"/>
      <c r="EM64" s="925"/>
      <c r="EN64" s="925"/>
      <c r="EO64" s="925"/>
      <c r="EP64" s="925"/>
      <c r="EQ64" s="925"/>
      <c r="ER64" s="925"/>
      <c r="ES64" s="925"/>
      <c r="ET64" s="925"/>
      <c r="EU64" s="925"/>
      <c r="EV64" s="925"/>
      <c r="EW64" s="925"/>
      <c r="EX64" s="925"/>
      <c r="EY64" s="925"/>
      <c r="EZ64" s="925"/>
      <c r="FA64" s="925"/>
      <c r="FB64" s="925"/>
      <c r="FC64" s="925"/>
      <c r="FD64" s="925"/>
      <c r="FE64" s="925"/>
      <c r="FF64" s="925"/>
      <c r="FG64" s="925"/>
      <c r="FH64" s="925"/>
      <c r="FI64" s="925"/>
      <c r="FJ64" s="925"/>
      <c r="FK64" s="925"/>
      <c r="FL64" s="925"/>
      <c r="FM64" s="925"/>
      <c r="FN64" s="925"/>
      <c r="FO64" s="925"/>
      <c r="FP64" s="925"/>
      <c r="FQ64" s="925"/>
      <c r="FR64" s="925"/>
      <c r="FS64" s="925"/>
      <c r="FT64" s="925"/>
      <c r="FU64" s="925"/>
      <c r="FV64" s="925"/>
      <c r="FW64" s="925"/>
      <c r="FX64" s="925"/>
      <c r="FY64" s="925"/>
      <c r="FZ64" s="925"/>
      <c r="GA64" s="925"/>
      <c r="GB64" s="925"/>
      <c r="GC64" s="925"/>
      <c r="GD64" s="925"/>
      <c r="GE64" s="925"/>
      <c r="GF64" s="925"/>
      <c r="GG64" s="925"/>
      <c r="GH64" s="925"/>
      <c r="GI64" s="925"/>
      <c r="GJ64" s="925"/>
      <c r="GK64" s="925"/>
      <c r="GL64" s="925"/>
      <c r="GM64" s="925"/>
      <c r="GN64" s="925"/>
      <c r="GO64" s="925"/>
      <c r="GP64" s="925"/>
      <c r="GQ64" s="925"/>
      <c r="GR64" s="925"/>
      <c r="GS64" s="925"/>
      <c r="GT64" s="925"/>
      <c r="GU64" s="925"/>
      <c r="GV64" s="925"/>
      <c r="GW64" s="925"/>
      <c r="GX64" s="925"/>
      <c r="GY64" s="925"/>
      <c r="GZ64" s="925"/>
      <c r="HA64" s="925"/>
      <c r="HB64" s="925"/>
      <c r="HC64" s="925"/>
      <c r="HD64" s="925"/>
      <c r="HE64" s="925"/>
      <c r="HF64" s="925"/>
      <c r="HG64" s="925"/>
      <c r="HH64" s="925"/>
      <c r="HI64" s="925"/>
      <c r="HJ64" s="925"/>
      <c r="HK64" s="925"/>
      <c r="HL64" s="925"/>
      <c r="HM64" s="925"/>
      <c r="HN64" s="925"/>
      <c r="HO64" s="925"/>
      <c r="HP64" s="925"/>
      <c r="HQ64" s="925"/>
      <c r="HR64" s="925"/>
      <c r="HS64" s="925"/>
      <c r="HT64" s="925"/>
      <c r="HU64" s="925"/>
      <c r="HV64" s="925"/>
      <c r="HW64" s="925"/>
      <c r="HX64" s="925"/>
      <c r="HY64" s="925"/>
      <c r="HZ64" s="925"/>
      <c r="IA64" s="925"/>
      <c r="IB64" s="925"/>
      <c r="IC64" s="925"/>
      <c r="ID64" s="925"/>
      <c r="IE64" s="925"/>
      <c r="IF64" s="925"/>
      <c r="IG64" s="925"/>
      <c r="IH64" s="925"/>
      <c r="II64" s="925"/>
      <c r="IJ64" s="925"/>
      <c r="IK64" s="925"/>
      <c r="IL64" s="925"/>
      <c r="IM64" s="925"/>
      <c r="IN64" s="925"/>
      <c r="IO64" s="925"/>
      <c r="IP64" s="925"/>
      <c r="IQ64" s="925"/>
      <c r="IR64" s="925"/>
      <c r="IS64" s="925"/>
      <c r="IT64" s="925"/>
      <c r="IU64" s="925"/>
      <c r="IV64" s="925"/>
    </row>
    <row r="65" s="923" customFormat="1" ht="20.1" customHeight="1" spans="1:256">
      <c r="A65" s="957" t="s">
        <v>397</v>
      </c>
      <c r="B65" s="958"/>
      <c r="C65" s="958"/>
      <c r="D65" s="955"/>
      <c r="E65" s="955"/>
      <c r="F65" s="955"/>
      <c r="G65" s="955"/>
      <c r="H65" s="955"/>
      <c r="I65" s="925"/>
      <c r="J65" s="925"/>
      <c r="K65" s="925"/>
      <c r="L65" s="925"/>
      <c r="M65" s="925"/>
      <c r="N65" s="925"/>
      <c r="O65" s="925"/>
      <c r="P65" s="925"/>
      <c r="Q65" s="925"/>
      <c r="R65" s="925"/>
      <c r="S65" s="925"/>
      <c r="T65" s="925"/>
      <c r="U65" s="925"/>
      <c r="V65" s="925"/>
      <c r="W65" s="925"/>
      <c r="X65" s="925"/>
      <c r="Y65" s="925"/>
      <c r="Z65" s="925"/>
      <c r="AA65" s="925"/>
      <c r="AB65" s="925"/>
      <c r="AC65" s="925"/>
      <c r="AD65" s="925"/>
      <c r="AE65" s="925"/>
      <c r="AF65" s="925"/>
      <c r="AG65" s="925"/>
      <c r="AH65" s="925"/>
      <c r="AI65" s="925"/>
      <c r="AJ65" s="925"/>
      <c r="AK65" s="925"/>
      <c r="AL65" s="925"/>
      <c r="AM65" s="925"/>
      <c r="AN65" s="925"/>
      <c r="AO65" s="925"/>
      <c r="AP65" s="925"/>
      <c r="AQ65" s="925"/>
      <c r="AR65" s="925"/>
      <c r="AS65" s="925"/>
      <c r="AT65" s="925"/>
      <c r="AU65" s="925"/>
      <c r="AV65" s="925"/>
      <c r="AW65" s="925"/>
      <c r="AX65" s="925"/>
      <c r="AY65" s="925"/>
      <c r="AZ65" s="925"/>
      <c r="BA65" s="925"/>
      <c r="BB65" s="925"/>
      <c r="BC65" s="925"/>
      <c r="BD65" s="925"/>
      <c r="BE65" s="925"/>
      <c r="BF65" s="925"/>
      <c r="BG65" s="925"/>
      <c r="BH65" s="925"/>
      <c r="BI65" s="925"/>
      <c r="BJ65" s="925"/>
      <c r="BK65" s="925"/>
      <c r="BL65" s="925"/>
      <c r="BM65" s="925"/>
      <c r="BN65" s="925"/>
      <c r="BO65" s="925"/>
      <c r="BP65" s="925"/>
      <c r="BQ65" s="925"/>
      <c r="BR65" s="925"/>
      <c r="BS65" s="925"/>
      <c r="BT65" s="925"/>
      <c r="BU65" s="925"/>
      <c r="BV65" s="925"/>
      <c r="BW65" s="925"/>
      <c r="BX65" s="925"/>
      <c r="BY65" s="925"/>
      <c r="BZ65" s="925"/>
      <c r="CA65" s="925"/>
      <c r="CB65" s="925"/>
      <c r="CC65" s="925"/>
      <c r="CD65" s="925"/>
      <c r="CE65" s="925"/>
      <c r="CF65" s="925"/>
      <c r="CG65" s="925"/>
      <c r="CH65" s="925"/>
      <c r="CI65" s="925"/>
      <c r="CJ65" s="925"/>
      <c r="CK65" s="925"/>
      <c r="CL65" s="925"/>
      <c r="CM65" s="925"/>
      <c r="CN65" s="925"/>
      <c r="CO65" s="925"/>
      <c r="CP65" s="925"/>
      <c r="CQ65" s="925"/>
      <c r="CR65" s="925"/>
      <c r="CS65" s="925"/>
      <c r="CT65" s="925"/>
      <c r="CU65" s="925"/>
      <c r="CV65" s="925"/>
      <c r="CW65" s="925"/>
      <c r="CX65" s="925"/>
      <c r="CY65" s="925"/>
      <c r="CZ65" s="925"/>
      <c r="DA65" s="925"/>
      <c r="DB65" s="925"/>
      <c r="DC65" s="925"/>
      <c r="DD65" s="925"/>
      <c r="DE65" s="925"/>
      <c r="DF65" s="925"/>
      <c r="DG65" s="925"/>
      <c r="DH65" s="925"/>
      <c r="DI65" s="925"/>
      <c r="DJ65" s="925"/>
      <c r="DK65" s="925"/>
      <c r="DL65" s="925"/>
      <c r="DM65" s="925"/>
      <c r="DN65" s="925"/>
      <c r="DO65" s="925"/>
      <c r="DP65" s="925"/>
      <c r="DQ65" s="925"/>
      <c r="DR65" s="925"/>
      <c r="DS65" s="925"/>
      <c r="DT65" s="925"/>
      <c r="DU65" s="925"/>
      <c r="DV65" s="925"/>
      <c r="DW65" s="925"/>
      <c r="DX65" s="925"/>
      <c r="DY65" s="925"/>
      <c r="DZ65" s="925"/>
      <c r="EA65" s="925"/>
      <c r="EB65" s="925"/>
      <c r="EC65" s="925"/>
      <c r="ED65" s="925"/>
      <c r="EE65" s="925"/>
      <c r="EF65" s="925"/>
      <c r="EG65" s="925"/>
      <c r="EH65" s="925"/>
      <c r="EI65" s="925"/>
      <c r="EJ65" s="925"/>
      <c r="EK65" s="925"/>
      <c r="EL65" s="925"/>
      <c r="EM65" s="925"/>
      <c r="EN65" s="925"/>
      <c r="EO65" s="925"/>
      <c r="EP65" s="925"/>
      <c r="EQ65" s="925"/>
      <c r="ER65" s="925"/>
      <c r="ES65" s="925"/>
      <c r="ET65" s="925"/>
      <c r="EU65" s="925"/>
      <c r="EV65" s="925"/>
      <c r="EW65" s="925"/>
      <c r="EX65" s="925"/>
      <c r="EY65" s="925"/>
      <c r="EZ65" s="925"/>
      <c r="FA65" s="925"/>
      <c r="FB65" s="925"/>
      <c r="FC65" s="925"/>
      <c r="FD65" s="925"/>
      <c r="FE65" s="925"/>
      <c r="FF65" s="925"/>
      <c r="FG65" s="925"/>
      <c r="FH65" s="925"/>
      <c r="FI65" s="925"/>
      <c r="FJ65" s="925"/>
      <c r="FK65" s="925"/>
      <c r="FL65" s="925"/>
      <c r="FM65" s="925"/>
      <c r="FN65" s="925"/>
      <c r="FO65" s="925"/>
      <c r="FP65" s="925"/>
      <c r="FQ65" s="925"/>
      <c r="FR65" s="925"/>
      <c r="FS65" s="925"/>
      <c r="FT65" s="925"/>
      <c r="FU65" s="925"/>
      <c r="FV65" s="925"/>
      <c r="FW65" s="925"/>
      <c r="FX65" s="925"/>
      <c r="FY65" s="925"/>
      <c r="FZ65" s="925"/>
      <c r="GA65" s="925"/>
      <c r="GB65" s="925"/>
      <c r="GC65" s="925"/>
      <c r="GD65" s="925"/>
      <c r="GE65" s="925"/>
      <c r="GF65" s="925"/>
      <c r="GG65" s="925"/>
      <c r="GH65" s="925"/>
      <c r="GI65" s="925"/>
      <c r="GJ65" s="925"/>
      <c r="GK65" s="925"/>
      <c r="GL65" s="925"/>
      <c r="GM65" s="925"/>
      <c r="GN65" s="925"/>
      <c r="GO65" s="925"/>
      <c r="GP65" s="925"/>
      <c r="GQ65" s="925"/>
      <c r="GR65" s="925"/>
      <c r="GS65" s="925"/>
      <c r="GT65" s="925"/>
      <c r="GU65" s="925"/>
      <c r="GV65" s="925"/>
      <c r="GW65" s="925"/>
      <c r="GX65" s="925"/>
      <c r="GY65" s="925"/>
      <c r="GZ65" s="925"/>
      <c r="HA65" s="925"/>
      <c r="HB65" s="925"/>
      <c r="HC65" s="925"/>
      <c r="HD65" s="925"/>
      <c r="HE65" s="925"/>
      <c r="HF65" s="925"/>
      <c r="HG65" s="925"/>
      <c r="HH65" s="925"/>
      <c r="HI65" s="925"/>
      <c r="HJ65" s="925"/>
      <c r="HK65" s="925"/>
      <c r="HL65" s="925"/>
      <c r="HM65" s="925"/>
      <c r="HN65" s="925"/>
      <c r="HO65" s="925"/>
      <c r="HP65" s="925"/>
      <c r="HQ65" s="925"/>
      <c r="HR65" s="925"/>
      <c r="HS65" s="925"/>
      <c r="HT65" s="925"/>
      <c r="HU65" s="925"/>
      <c r="HV65" s="925"/>
      <c r="HW65" s="925"/>
      <c r="HX65" s="925"/>
      <c r="HY65" s="925"/>
      <c r="HZ65" s="925"/>
      <c r="IA65" s="925"/>
      <c r="IB65" s="925"/>
      <c r="IC65" s="925"/>
      <c r="ID65" s="925"/>
      <c r="IE65" s="925"/>
      <c r="IF65" s="925"/>
      <c r="IG65" s="925"/>
      <c r="IH65" s="925"/>
      <c r="II65" s="925"/>
      <c r="IJ65" s="925"/>
      <c r="IK65" s="925"/>
      <c r="IL65" s="925"/>
      <c r="IM65" s="925"/>
      <c r="IN65" s="925"/>
      <c r="IO65" s="925"/>
      <c r="IP65" s="925"/>
      <c r="IQ65" s="925"/>
      <c r="IR65" s="925"/>
      <c r="IS65" s="925"/>
      <c r="IT65" s="925"/>
      <c r="IU65" s="925"/>
      <c r="IV65" s="925"/>
    </row>
    <row r="66" s="923" customFormat="1" ht="20.1" customHeight="1" spans="1:256">
      <c r="A66" s="962" t="s">
        <v>398</v>
      </c>
      <c r="B66" s="964"/>
      <c r="C66" s="964"/>
      <c r="D66" s="955"/>
      <c r="E66" s="955"/>
      <c r="F66" s="955"/>
      <c r="G66" s="955"/>
      <c r="H66" s="955"/>
      <c r="I66" s="925"/>
      <c r="J66" s="925"/>
      <c r="K66" s="925"/>
      <c r="L66" s="925"/>
      <c r="M66" s="925"/>
      <c r="N66" s="925"/>
      <c r="O66" s="925"/>
      <c r="P66" s="925"/>
      <c r="Q66" s="925"/>
      <c r="R66" s="925"/>
      <c r="S66" s="925"/>
      <c r="T66" s="925"/>
      <c r="U66" s="925"/>
      <c r="V66" s="925"/>
      <c r="W66" s="925"/>
      <c r="X66" s="925"/>
      <c r="Y66" s="925"/>
      <c r="Z66" s="925"/>
      <c r="AA66" s="925"/>
      <c r="AB66" s="925"/>
      <c r="AC66" s="925"/>
      <c r="AD66" s="925"/>
      <c r="AE66" s="925"/>
      <c r="AF66" s="925"/>
      <c r="AG66" s="925"/>
      <c r="AH66" s="925"/>
      <c r="AI66" s="925"/>
      <c r="AJ66" s="925"/>
      <c r="AK66" s="925"/>
      <c r="AL66" s="925"/>
      <c r="AM66" s="925"/>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5"/>
      <c r="BJ66" s="925"/>
      <c r="BK66" s="925"/>
      <c r="BL66" s="925"/>
      <c r="BM66" s="925"/>
      <c r="BN66" s="925"/>
      <c r="BO66" s="925"/>
      <c r="BP66" s="925"/>
      <c r="BQ66" s="925"/>
      <c r="BR66" s="925"/>
      <c r="BS66" s="925"/>
      <c r="BT66" s="925"/>
      <c r="BU66" s="925"/>
      <c r="BV66" s="925"/>
      <c r="BW66" s="925"/>
      <c r="BX66" s="925"/>
      <c r="BY66" s="925"/>
      <c r="BZ66" s="925"/>
      <c r="CA66" s="925"/>
      <c r="CB66" s="925"/>
      <c r="CC66" s="925"/>
      <c r="CD66" s="925"/>
      <c r="CE66" s="925"/>
      <c r="CF66" s="925"/>
      <c r="CG66" s="925"/>
      <c r="CH66" s="925"/>
      <c r="CI66" s="925"/>
      <c r="CJ66" s="925"/>
      <c r="CK66" s="925"/>
      <c r="CL66" s="925"/>
      <c r="CM66" s="925"/>
      <c r="CN66" s="925"/>
      <c r="CO66" s="925"/>
      <c r="CP66" s="925"/>
      <c r="CQ66" s="925"/>
      <c r="CR66" s="925"/>
      <c r="CS66" s="925"/>
      <c r="CT66" s="925"/>
      <c r="CU66" s="925"/>
      <c r="CV66" s="925"/>
      <c r="CW66" s="925"/>
      <c r="CX66" s="925"/>
      <c r="CY66" s="925"/>
      <c r="CZ66" s="925"/>
      <c r="DA66" s="925"/>
      <c r="DB66" s="925"/>
      <c r="DC66" s="925"/>
      <c r="DD66" s="925"/>
      <c r="DE66" s="925"/>
      <c r="DF66" s="925"/>
      <c r="DG66" s="925"/>
      <c r="DH66" s="925"/>
      <c r="DI66" s="925"/>
      <c r="DJ66" s="925"/>
      <c r="DK66" s="925"/>
      <c r="DL66" s="925"/>
      <c r="DM66" s="925"/>
      <c r="DN66" s="925"/>
      <c r="DO66" s="925"/>
      <c r="DP66" s="925"/>
      <c r="DQ66" s="925"/>
      <c r="DR66" s="925"/>
      <c r="DS66" s="925"/>
      <c r="DT66" s="925"/>
      <c r="DU66" s="925"/>
      <c r="DV66" s="925"/>
      <c r="DW66" s="925"/>
      <c r="DX66" s="925"/>
      <c r="DY66" s="925"/>
      <c r="DZ66" s="925"/>
      <c r="EA66" s="925"/>
      <c r="EB66" s="925"/>
      <c r="EC66" s="925"/>
      <c r="ED66" s="925"/>
      <c r="EE66" s="925"/>
      <c r="EF66" s="925"/>
      <c r="EG66" s="925"/>
      <c r="EH66" s="925"/>
      <c r="EI66" s="925"/>
      <c r="EJ66" s="925"/>
      <c r="EK66" s="925"/>
      <c r="EL66" s="925"/>
      <c r="EM66" s="925"/>
      <c r="EN66" s="925"/>
      <c r="EO66" s="925"/>
      <c r="EP66" s="925"/>
      <c r="EQ66" s="925"/>
      <c r="ER66" s="925"/>
      <c r="ES66" s="925"/>
      <c r="ET66" s="925"/>
      <c r="EU66" s="925"/>
      <c r="EV66" s="925"/>
      <c r="EW66" s="925"/>
      <c r="EX66" s="925"/>
      <c r="EY66" s="925"/>
      <c r="EZ66" s="925"/>
      <c r="FA66" s="925"/>
      <c r="FB66" s="925"/>
      <c r="FC66" s="925"/>
      <c r="FD66" s="925"/>
      <c r="FE66" s="925"/>
      <c r="FF66" s="925"/>
      <c r="FG66" s="925"/>
      <c r="FH66" s="925"/>
      <c r="FI66" s="925"/>
      <c r="FJ66" s="925"/>
      <c r="FK66" s="925"/>
      <c r="FL66" s="925"/>
      <c r="FM66" s="925"/>
      <c r="FN66" s="925"/>
      <c r="FO66" s="925"/>
      <c r="FP66" s="925"/>
      <c r="FQ66" s="925"/>
      <c r="FR66" s="925"/>
      <c r="FS66" s="925"/>
      <c r="FT66" s="925"/>
      <c r="FU66" s="925"/>
      <c r="FV66" s="925"/>
      <c r="FW66" s="925"/>
      <c r="FX66" s="925"/>
      <c r="FY66" s="925"/>
      <c r="FZ66" s="925"/>
      <c r="GA66" s="925"/>
      <c r="GB66" s="925"/>
      <c r="GC66" s="925"/>
      <c r="GD66" s="925"/>
      <c r="GE66" s="925"/>
      <c r="GF66" s="925"/>
      <c r="GG66" s="925"/>
      <c r="GH66" s="925"/>
      <c r="GI66" s="925"/>
      <c r="GJ66" s="925"/>
      <c r="GK66" s="925"/>
      <c r="GL66" s="925"/>
      <c r="GM66" s="925"/>
      <c r="GN66" s="925"/>
      <c r="GO66" s="925"/>
      <c r="GP66" s="925"/>
      <c r="GQ66" s="925"/>
      <c r="GR66" s="925"/>
      <c r="GS66" s="925"/>
      <c r="GT66" s="925"/>
      <c r="GU66" s="925"/>
      <c r="GV66" s="925"/>
      <c r="GW66" s="925"/>
      <c r="GX66" s="925"/>
      <c r="GY66" s="925"/>
      <c r="GZ66" s="925"/>
      <c r="HA66" s="925"/>
      <c r="HB66" s="925"/>
      <c r="HC66" s="925"/>
      <c r="HD66" s="925"/>
      <c r="HE66" s="925"/>
      <c r="HF66" s="925"/>
      <c r="HG66" s="925"/>
      <c r="HH66" s="925"/>
      <c r="HI66" s="925"/>
      <c r="HJ66" s="925"/>
      <c r="HK66" s="925"/>
      <c r="HL66" s="925"/>
      <c r="HM66" s="925"/>
      <c r="HN66" s="925"/>
      <c r="HO66" s="925"/>
      <c r="HP66" s="925"/>
      <c r="HQ66" s="925"/>
      <c r="HR66" s="925"/>
      <c r="HS66" s="925"/>
      <c r="HT66" s="925"/>
      <c r="HU66" s="925"/>
      <c r="HV66" s="925"/>
      <c r="HW66" s="925"/>
      <c r="HX66" s="925"/>
      <c r="HY66" s="925"/>
      <c r="HZ66" s="925"/>
      <c r="IA66" s="925"/>
      <c r="IB66" s="925"/>
      <c r="IC66" s="925"/>
      <c r="ID66" s="925"/>
      <c r="IE66" s="925"/>
      <c r="IF66" s="925"/>
      <c r="IG66" s="925"/>
      <c r="IH66" s="925"/>
      <c r="II66" s="925"/>
      <c r="IJ66" s="925"/>
      <c r="IK66" s="925"/>
      <c r="IL66" s="925"/>
      <c r="IM66" s="925"/>
      <c r="IN66" s="925"/>
      <c r="IO66" s="925"/>
      <c r="IP66" s="925"/>
      <c r="IQ66" s="925"/>
      <c r="IR66" s="925"/>
      <c r="IS66" s="925"/>
      <c r="IT66" s="925"/>
      <c r="IU66" s="925"/>
      <c r="IV66" s="925"/>
    </row>
    <row r="67" s="923" customFormat="1" ht="20.1" customHeight="1" spans="1:256">
      <c r="A67" s="962" t="s">
        <v>399</v>
      </c>
      <c r="B67" s="964"/>
      <c r="C67" s="964"/>
      <c r="D67" s="926"/>
      <c r="E67" s="926"/>
      <c r="F67" s="926"/>
      <c r="G67" s="926"/>
      <c r="H67" s="926"/>
      <c r="I67" s="925"/>
      <c r="J67" s="925"/>
      <c r="K67" s="925"/>
      <c r="L67" s="925"/>
      <c r="M67" s="925"/>
      <c r="N67" s="925"/>
      <c r="O67" s="925"/>
      <c r="P67" s="925"/>
      <c r="Q67" s="925"/>
      <c r="R67" s="925"/>
      <c r="S67" s="925"/>
      <c r="T67" s="925"/>
      <c r="U67" s="925"/>
      <c r="V67" s="925"/>
      <c r="W67" s="925"/>
      <c r="X67" s="925"/>
      <c r="Y67" s="925"/>
      <c r="Z67" s="925"/>
      <c r="AA67" s="925"/>
      <c r="AB67" s="925"/>
      <c r="AC67" s="925"/>
      <c r="AD67" s="925"/>
      <c r="AE67" s="925"/>
      <c r="AF67" s="925"/>
      <c r="AG67" s="925"/>
      <c r="AH67" s="925"/>
      <c r="AI67" s="925"/>
      <c r="AJ67" s="925"/>
      <c r="AK67" s="925"/>
      <c r="AL67" s="925"/>
      <c r="AM67" s="925"/>
      <c r="AN67" s="925"/>
      <c r="AO67" s="925"/>
      <c r="AP67" s="925"/>
      <c r="AQ67" s="925"/>
      <c r="AR67" s="925"/>
      <c r="AS67" s="925"/>
      <c r="AT67" s="925"/>
      <c r="AU67" s="925"/>
      <c r="AV67" s="925"/>
      <c r="AW67" s="925"/>
      <c r="AX67" s="925"/>
      <c r="AY67" s="925"/>
      <c r="AZ67" s="925"/>
      <c r="BA67" s="925"/>
      <c r="BB67" s="925"/>
      <c r="BC67" s="925"/>
      <c r="BD67" s="925"/>
      <c r="BE67" s="925"/>
      <c r="BF67" s="925"/>
      <c r="BG67" s="925"/>
      <c r="BH67" s="925"/>
      <c r="BI67" s="925"/>
      <c r="BJ67" s="925"/>
      <c r="BK67" s="925"/>
      <c r="BL67" s="925"/>
      <c r="BM67" s="925"/>
      <c r="BN67" s="925"/>
      <c r="BO67" s="925"/>
      <c r="BP67" s="925"/>
      <c r="BQ67" s="925"/>
      <c r="BR67" s="925"/>
      <c r="BS67" s="925"/>
      <c r="BT67" s="925"/>
      <c r="BU67" s="925"/>
      <c r="BV67" s="925"/>
      <c r="BW67" s="925"/>
      <c r="BX67" s="925"/>
      <c r="BY67" s="925"/>
      <c r="BZ67" s="925"/>
      <c r="CA67" s="925"/>
      <c r="CB67" s="925"/>
      <c r="CC67" s="925"/>
      <c r="CD67" s="925"/>
      <c r="CE67" s="925"/>
      <c r="CF67" s="925"/>
      <c r="CG67" s="925"/>
      <c r="CH67" s="925"/>
      <c r="CI67" s="925"/>
      <c r="CJ67" s="925"/>
      <c r="CK67" s="925"/>
      <c r="CL67" s="925"/>
      <c r="CM67" s="925"/>
      <c r="CN67" s="925"/>
      <c r="CO67" s="925"/>
      <c r="CP67" s="925"/>
      <c r="CQ67" s="925"/>
      <c r="CR67" s="925"/>
      <c r="CS67" s="925"/>
      <c r="CT67" s="925"/>
      <c r="CU67" s="925"/>
      <c r="CV67" s="925"/>
      <c r="CW67" s="925"/>
      <c r="CX67" s="925"/>
      <c r="CY67" s="925"/>
      <c r="CZ67" s="925"/>
      <c r="DA67" s="925"/>
      <c r="DB67" s="925"/>
      <c r="DC67" s="925"/>
      <c r="DD67" s="925"/>
      <c r="DE67" s="925"/>
      <c r="DF67" s="925"/>
      <c r="DG67" s="925"/>
      <c r="DH67" s="925"/>
      <c r="DI67" s="925"/>
      <c r="DJ67" s="925"/>
      <c r="DK67" s="925"/>
      <c r="DL67" s="925"/>
      <c r="DM67" s="925"/>
      <c r="DN67" s="925"/>
      <c r="DO67" s="925"/>
      <c r="DP67" s="925"/>
      <c r="DQ67" s="925"/>
      <c r="DR67" s="925"/>
      <c r="DS67" s="925"/>
      <c r="DT67" s="925"/>
      <c r="DU67" s="925"/>
      <c r="DV67" s="925"/>
      <c r="DW67" s="925"/>
      <c r="DX67" s="925"/>
      <c r="DY67" s="925"/>
      <c r="DZ67" s="925"/>
      <c r="EA67" s="925"/>
      <c r="EB67" s="925"/>
      <c r="EC67" s="925"/>
      <c r="ED67" s="925"/>
      <c r="EE67" s="925"/>
      <c r="EF67" s="925"/>
      <c r="EG67" s="925"/>
      <c r="EH67" s="925"/>
      <c r="EI67" s="925"/>
      <c r="EJ67" s="925"/>
      <c r="EK67" s="925"/>
      <c r="EL67" s="925"/>
      <c r="EM67" s="925"/>
      <c r="EN67" s="925"/>
      <c r="EO67" s="925"/>
      <c r="EP67" s="925"/>
      <c r="EQ67" s="925"/>
      <c r="ER67" s="925"/>
      <c r="ES67" s="925"/>
      <c r="ET67" s="925"/>
      <c r="EU67" s="925"/>
      <c r="EV67" s="925"/>
      <c r="EW67" s="925"/>
      <c r="EX67" s="925"/>
      <c r="EY67" s="925"/>
      <c r="EZ67" s="925"/>
      <c r="FA67" s="925"/>
      <c r="FB67" s="925"/>
      <c r="FC67" s="925"/>
      <c r="FD67" s="925"/>
      <c r="FE67" s="925"/>
      <c r="FF67" s="925"/>
      <c r="FG67" s="925"/>
      <c r="FH67" s="925"/>
      <c r="FI67" s="925"/>
      <c r="FJ67" s="925"/>
      <c r="FK67" s="925"/>
      <c r="FL67" s="925"/>
      <c r="FM67" s="925"/>
      <c r="FN67" s="925"/>
      <c r="FO67" s="925"/>
      <c r="FP67" s="925"/>
      <c r="FQ67" s="925"/>
      <c r="FR67" s="925"/>
      <c r="FS67" s="925"/>
      <c r="FT67" s="925"/>
      <c r="FU67" s="925"/>
      <c r="FV67" s="925"/>
      <c r="FW67" s="925"/>
      <c r="FX67" s="925"/>
      <c r="FY67" s="925"/>
      <c r="FZ67" s="925"/>
      <c r="GA67" s="925"/>
      <c r="GB67" s="925"/>
      <c r="GC67" s="925"/>
      <c r="GD67" s="925"/>
      <c r="GE67" s="925"/>
      <c r="GF67" s="925"/>
      <c r="GG67" s="925"/>
      <c r="GH67" s="925"/>
      <c r="GI67" s="925"/>
      <c r="GJ67" s="925"/>
      <c r="GK67" s="925"/>
      <c r="GL67" s="925"/>
      <c r="GM67" s="925"/>
      <c r="GN67" s="925"/>
      <c r="GO67" s="925"/>
      <c r="GP67" s="925"/>
      <c r="GQ67" s="925"/>
      <c r="GR67" s="925"/>
      <c r="GS67" s="925"/>
      <c r="GT67" s="925"/>
      <c r="GU67" s="925"/>
      <c r="GV67" s="925"/>
      <c r="GW67" s="925"/>
      <c r="GX67" s="925"/>
      <c r="GY67" s="925"/>
      <c r="GZ67" s="925"/>
      <c r="HA67" s="925"/>
      <c r="HB67" s="925"/>
      <c r="HC67" s="925"/>
      <c r="HD67" s="925"/>
      <c r="HE67" s="925"/>
      <c r="HF67" s="925"/>
      <c r="HG67" s="925"/>
      <c r="HH67" s="925"/>
      <c r="HI67" s="925"/>
      <c r="HJ67" s="925"/>
      <c r="HK67" s="925"/>
      <c r="HL67" s="925"/>
      <c r="HM67" s="925"/>
      <c r="HN67" s="925"/>
      <c r="HO67" s="925"/>
      <c r="HP67" s="925"/>
      <c r="HQ67" s="925"/>
      <c r="HR67" s="925"/>
      <c r="HS67" s="925"/>
      <c r="HT67" s="925"/>
      <c r="HU67" s="925"/>
      <c r="HV67" s="925"/>
      <c r="HW67" s="925"/>
      <c r="HX67" s="925"/>
      <c r="HY67" s="925"/>
      <c r="HZ67" s="925"/>
      <c r="IA67" s="925"/>
      <c r="IB67" s="925"/>
      <c r="IC67" s="925"/>
      <c r="ID67" s="925"/>
      <c r="IE67" s="925"/>
      <c r="IF67" s="925"/>
      <c r="IG67" s="925"/>
      <c r="IH67" s="925"/>
      <c r="II67" s="925"/>
      <c r="IJ67" s="925"/>
      <c r="IK67" s="925"/>
      <c r="IL67" s="925"/>
      <c r="IM67" s="925"/>
      <c r="IN67" s="925"/>
      <c r="IO67" s="925"/>
      <c r="IP67" s="925"/>
      <c r="IQ67" s="925"/>
      <c r="IR67" s="925"/>
      <c r="IS67" s="925"/>
      <c r="IT67" s="925"/>
      <c r="IU67" s="925"/>
      <c r="IV67" s="925"/>
    </row>
    <row r="68" s="923" customFormat="1" ht="20.1" customHeight="1" spans="1:256">
      <c r="A68" s="962" t="s">
        <v>400</v>
      </c>
      <c r="B68" s="964"/>
      <c r="C68" s="964"/>
      <c r="D68" s="926"/>
      <c r="E68" s="926"/>
      <c r="F68" s="926"/>
      <c r="G68" s="926"/>
      <c r="H68" s="926"/>
      <c r="I68" s="925"/>
      <c r="J68" s="925"/>
      <c r="K68" s="925"/>
      <c r="L68" s="925"/>
      <c r="M68" s="925"/>
      <c r="N68" s="925"/>
      <c r="O68" s="925"/>
      <c r="P68" s="925"/>
      <c r="Q68" s="925"/>
      <c r="R68" s="925"/>
      <c r="S68" s="925"/>
      <c r="T68" s="925"/>
      <c r="U68" s="925"/>
      <c r="V68" s="925"/>
      <c r="W68" s="925"/>
      <c r="X68" s="925"/>
      <c r="Y68" s="925"/>
      <c r="Z68" s="925"/>
      <c r="AA68" s="925"/>
      <c r="AB68" s="925"/>
      <c r="AC68" s="925"/>
      <c r="AD68" s="925"/>
      <c r="AE68" s="925"/>
      <c r="AF68" s="925"/>
      <c r="AG68" s="925"/>
      <c r="AH68" s="925"/>
      <c r="AI68" s="925"/>
      <c r="AJ68" s="925"/>
      <c r="AK68" s="925"/>
      <c r="AL68" s="925"/>
      <c r="AM68" s="925"/>
      <c r="AN68" s="925"/>
      <c r="AO68" s="925"/>
      <c r="AP68" s="925"/>
      <c r="AQ68" s="925"/>
      <c r="AR68" s="925"/>
      <c r="AS68" s="925"/>
      <c r="AT68" s="925"/>
      <c r="AU68" s="925"/>
      <c r="AV68" s="925"/>
      <c r="AW68" s="925"/>
      <c r="AX68" s="925"/>
      <c r="AY68" s="925"/>
      <c r="AZ68" s="925"/>
      <c r="BA68" s="925"/>
      <c r="BB68" s="925"/>
      <c r="BC68" s="925"/>
      <c r="BD68" s="925"/>
      <c r="BE68" s="925"/>
      <c r="BF68" s="925"/>
      <c r="BG68" s="925"/>
      <c r="BH68" s="925"/>
      <c r="BI68" s="925"/>
      <c r="BJ68" s="925"/>
      <c r="BK68" s="925"/>
      <c r="BL68" s="925"/>
      <c r="BM68" s="925"/>
      <c r="BN68" s="925"/>
      <c r="BO68" s="925"/>
      <c r="BP68" s="925"/>
      <c r="BQ68" s="925"/>
      <c r="BR68" s="925"/>
      <c r="BS68" s="925"/>
      <c r="BT68" s="925"/>
      <c r="BU68" s="925"/>
      <c r="BV68" s="925"/>
      <c r="BW68" s="925"/>
      <c r="BX68" s="925"/>
      <c r="BY68" s="925"/>
      <c r="BZ68" s="925"/>
      <c r="CA68" s="925"/>
      <c r="CB68" s="925"/>
      <c r="CC68" s="925"/>
      <c r="CD68" s="925"/>
      <c r="CE68" s="925"/>
      <c r="CF68" s="925"/>
      <c r="CG68" s="925"/>
      <c r="CH68" s="925"/>
      <c r="CI68" s="925"/>
      <c r="CJ68" s="925"/>
      <c r="CK68" s="925"/>
      <c r="CL68" s="925"/>
      <c r="CM68" s="925"/>
      <c r="CN68" s="925"/>
      <c r="CO68" s="925"/>
      <c r="CP68" s="925"/>
      <c r="CQ68" s="925"/>
      <c r="CR68" s="925"/>
      <c r="CS68" s="925"/>
      <c r="CT68" s="925"/>
      <c r="CU68" s="925"/>
      <c r="CV68" s="925"/>
      <c r="CW68" s="925"/>
      <c r="CX68" s="925"/>
      <c r="CY68" s="925"/>
      <c r="CZ68" s="925"/>
      <c r="DA68" s="925"/>
      <c r="DB68" s="925"/>
      <c r="DC68" s="925"/>
      <c r="DD68" s="925"/>
      <c r="DE68" s="925"/>
      <c r="DF68" s="925"/>
      <c r="DG68" s="925"/>
      <c r="DH68" s="925"/>
      <c r="DI68" s="925"/>
      <c r="DJ68" s="925"/>
      <c r="DK68" s="925"/>
      <c r="DL68" s="925"/>
      <c r="DM68" s="925"/>
      <c r="DN68" s="925"/>
      <c r="DO68" s="925"/>
      <c r="DP68" s="925"/>
      <c r="DQ68" s="925"/>
      <c r="DR68" s="925"/>
      <c r="DS68" s="925"/>
      <c r="DT68" s="925"/>
      <c r="DU68" s="925"/>
      <c r="DV68" s="925"/>
      <c r="DW68" s="925"/>
      <c r="DX68" s="925"/>
      <c r="DY68" s="925"/>
      <c r="DZ68" s="925"/>
      <c r="EA68" s="925"/>
      <c r="EB68" s="925"/>
      <c r="EC68" s="925"/>
      <c r="ED68" s="925"/>
      <c r="EE68" s="925"/>
      <c r="EF68" s="925"/>
      <c r="EG68" s="925"/>
      <c r="EH68" s="925"/>
      <c r="EI68" s="925"/>
      <c r="EJ68" s="925"/>
      <c r="EK68" s="925"/>
      <c r="EL68" s="925"/>
      <c r="EM68" s="925"/>
      <c r="EN68" s="925"/>
      <c r="EO68" s="925"/>
      <c r="EP68" s="925"/>
      <c r="EQ68" s="925"/>
      <c r="ER68" s="925"/>
      <c r="ES68" s="925"/>
      <c r="ET68" s="925"/>
      <c r="EU68" s="925"/>
      <c r="EV68" s="925"/>
      <c r="EW68" s="925"/>
      <c r="EX68" s="925"/>
      <c r="EY68" s="925"/>
      <c r="EZ68" s="925"/>
      <c r="FA68" s="925"/>
      <c r="FB68" s="925"/>
      <c r="FC68" s="925"/>
      <c r="FD68" s="925"/>
      <c r="FE68" s="925"/>
      <c r="FF68" s="925"/>
      <c r="FG68" s="925"/>
      <c r="FH68" s="925"/>
      <c r="FI68" s="925"/>
      <c r="FJ68" s="925"/>
      <c r="FK68" s="925"/>
      <c r="FL68" s="925"/>
      <c r="FM68" s="925"/>
      <c r="FN68" s="925"/>
      <c r="FO68" s="925"/>
      <c r="FP68" s="925"/>
      <c r="FQ68" s="925"/>
      <c r="FR68" s="925"/>
      <c r="FS68" s="925"/>
      <c r="FT68" s="925"/>
      <c r="FU68" s="925"/>
      <c r="FV68" s="925"/>
      <c r="FW68" s="925"/>
      <c r="FX68" s="925"/>
      <c r="FY68" s="925"/>
      <c r="FZ68" s="925"/>
      <c r="GA68" s="925"/>
      <c r="GB68" s="925"/>
      <c r="GC68" s="925"/>
      <c r="GD68" s="925"/>
      <c r="GE68" s="925"/>
      <c r="GF68" s="925"/>
      <c r="GG68" s="925"/>
      <c r="GH68" s="925"/>
      <c r="GI68" s="925"/>
      <c r="GJ68" s="925"/>
      <c r="GK68" s="925"/>
      <c r="GL68" s="925"/>
      <c r="GM68" s="925"/>
      <c r="GN68" s="925"/>
      <c r="GO68" s="925"/>
      <c r="GP68" s="925"/>
      <c r="GQ68" s="925"/>
      <c r="GR68" s="925"/>
      <c r="GS68" s="925"/>
      <c r="GT68" s="925"/>
      <c r="GU68" s="925"/>
      <c r="GV68" s="925"/>
      <c r="GW68" s="925"/>
      <c r="GX68" s="925"/>
      <c r="GY68" s="925"/>
      <c r="GZ68" s="925"/>
      <c r="HA68" s="925"/>
      <c r="HB68" s="925"/>
      <c r="HC68" s="925"/>
      <c r="HD68" s="925"/>
      <c r="HE68" s="925"/>
      <c r="HF68" s="925"/>
      <c r="HG68" s="925"/>
      <c r="HH68" s="925"/>
      <c r="HI68" s="925"/>
      <c r="HJ68" s="925"/>
      <c r="HK68" s="925"/>
      <c r="HL68" s="925"/>
      <c r="HM68" s="925"/>
      <c r="HN68" s="925"/>
      <c r="HO68" s="925"/>
      <c r="HP68" s="925"/>
      <c r="HQ68" s="925"/>
      <c r="HR68" s="925"/>
      <c r="HS68" s="925"/>
      <c r="HT68" s="925"/>
      <c r="HU68" s="925"/>
      <c r="HV68" s="925"/>
      <c r="HW68" s="925"/>
      <c r="HX68" s="925"/>
      <c r="HY68" s="925"/>
      <c r="HZ68" s="925"/>
      <c r="IA68" s="925"/>
      <c r="IB68" s="925"/>
      <c r="IC68" s="925"/>
      <c r="ID68" s="925"/>
      <c r="IE68" s="925"/>
      <c r="IF68" s="925"/>
      <c r="IG68" s="925"/>
      <c r="IH68" s="925"/>
      <c r="II68" s="925"/>
      <c r="IJ68" s="925"/>
      <c r="IK68" s="925"/>
      <c r="IL68" s="925"/>
      <c r="IM68" s="925"/>
      <c r="IN68" s="925"/>
      <c r="IO68" s="925"/>
      <c r="IP68" s="925"/>
      <c r="IQ68" s="925"/>
      <c r="IR68" s="925"/>
      <c r="IS68" s="925"/>
      <c r="IT68" s="925"/>
      <c r="IU68" s="925"/>
      <c r="IV68" s="925"/>
    </row>
    <row r="69" s="923" customFormat="1" ht="20.1" customHeight="1" spans="1:256">
      <c r="A69" s="957" t="s">
        <v>401</v>
      </c>
      <c r="B69" s="958"/>
      <c r="C69" s="958"/>
      <c r="D69" s="926"/>
      <c r="E69" s="926"/>
      <c r="F69" s="926"/>
      <c r="G69" s="926"/>
      <c r="H69" s="926"/>
      <c r="I69" s="925"/>
      <c r="J69" s="925"/>
      <c r="K69" s="925"/>
      <c r="L69" s="925"/>
      <c r="M69" s="925"/>
      <c r="N69" s="925"/>
      <c r="O69" s="925"/>
      <c r="P69" s="925"/>
      <c r="Q69" s="925"/>
      <c r="R69" s="925"/>
      <c r="S69" s="925"/>
      <c r="T69" s="925"/>
      <c r="U69" s="925"/>
      <c r="V69" s="925"/>
      <c r="W69" s="925"/>
      <c r="X69" s="925"/>
      <c r="Y69" s="925"/>
      <c r="Z69" s="925"/>
      <c r="AA69" s="925"/>
      <c r="AB69" s="925"/>
      <c r="AC69" s="925"/>
      <c r="AD69" s="925"/>
      <c r="AE69" s="925"/>
      <c r="AF69" s="925"/>
      <c r="AG69" s="925"/>
      <c r="AH69" s="925"/>
      <c r="AI69" s="925"/>
      <c r="AJ69" s="925"/>
      <c r="AK69" s="925"/>
      <c r="AL69" s="925"/>
      <c r="AM69" s="925"/>
      <c r="AN69" s="925"/>
      <c r="AO69" s="925"/>
      <c r="AP69" s="925"/>
      <c r="AQ69" s="925"/>
      <c r="AR69" s="925"/>
      <c r="AS69" s="925"/>
      <c r="AT69" s="925"/>
      <c r="AU69" s="925"/>
      <c r="AV69" s="925"/>
      <c r="AW69" s="925"/>
      <c r="AX69" s="925"/>
      <c r="AY69" s="925"/>
      <c r="AZ69" s="925"/>
      <c r="BA69" s="925"/>
      <c r="BB69" s="925"/>
      <c r="BC69" s="925"/>
      <c r="BD69" s="925"/>
      <c r="BE69" s="925"/>
      <c r="BF69" s="925"/>
      <c r="BG69" s="925"/>
      <c r="BH69" s="925"/>
      <c r="BI69" s="925"/>
      <c r="BJ69" s="925"/>
      <c r="BK69" s="925"/>
      <c r="BL69" s="925"/>
      <c r="BM69" s="925"/>
      <c r="BN69" s="925"/>
      <c r="BO69" s="925"/>
      <c r="BP69" s="925"/>
      <c r="BQ69" s="925"/>
      <c r="BR69" s="925"/>
      <c r="BS69" s="925"/>
      <c r="BT69" s="925"/>
      <c r="BU69" s="925"/>
      <c r="BV69" s="925"/>
      <c r="BW69" s="925"/>
      <c r="BX69" s="925"/>
      <c r="BY69" s="925"/>
      <c r="BZ69" s="925"/>
      <c r="CA69" s="925"/>
      <c r="CB69" s="925"/>
      <c r="CC69" s="925"/>
      <c r="CD69" s="925"/>
      <c r="CE69" s="925"/>
      <c r="CF69" s="925"/>
      <c r="CG69" s="925"/>
      <c r="CH69" s="925"/>
      <c r="CI69" s="925"/>
      <c r="CJ69" s="925"/>
      <c r="CK69" s="925"/>
      <c r="CL69" s="925"/>
      <c r="CM69" s="925"/>
      <c r="CN69" s="925"/>
      <c r="CO69" s="925"/>
      <c r="CP69" s="925"/>
      <c r="CQ69" s="925"/>
      <c r="CR69" s="925"/>
      <c r="CS69" s="925"/>
      <c r="CT69" s="925"/>
      <c r="CU69" s="925"/>
      <c r="CV69" s="925"/>
      <c r="CW69" s="925"/>
      <c r="CX69" s="925"/>
      <c r="CY69" s="925"/>
      <c r="CZ69" s="925"/>
      <c r="DA69" s="925"/>
      <c r="DB69" s="925"/>
      <c r="DC69" s="925"/>
      <c r="DD69" s="925"/>
      <c r="DE69" s="925"/>
      <c r="DF69" s="925"/>
      <c r="DG69" s="925"/>
      <c r="DH69" s="925"/>
      <c r="DI69" s="925"/>
      <c r="DJ69" s="925"/>
      <c r="DK69" s="925"/>
      <c r="DL69" s="925"/>
      <c r="DM69" s="925"/>
      <c r="DN69" s="925"/>
      <c r="DO69" s="925"/>
      <c r="DP69" s="925"/>
      <c r="DQ69" s="925"/>
      <c r="DR69" s="925"/>
      <c r="DS69" s="925"/>
      <c r="DT69" s="925"/>
      <c r="DU69" s="925"/>
      <c r="DV69" s="925"/>
      <c r="DW69" s="925"/>
      <c r="DX69" s="925"/>
      <c r="DY69" s="925"/>
      <c r="DZ69" s="925"/>
      <c r="EA69" s="925"/>
      <c r="EB69" s="925"/>
      <c r="EC69" s="925"/>
      <c r="ED69" s="925"/>
      <c r="EE69" s="925"/>
      <c r="EF69" s="925"/>
      <c r="EG69" s="925"/>
      <c r="EH69" s="925"/>
      <c r="EI69" s="925"/>
      <c r="EJ69" s="925"/>
      <c r="EK69" s="925"/>
      <c r="EL69" s="925"/>
      <c r="EM69" s="925"/>
      <c r="EN69" s="925"/>
      <c r="EO69" s="925"/>
      <c r="EP69" s="925"/>
      <c r="EQ69" s="925"/>
      <c r="ER69" s="925"/>
      <c r="ES69" s="925"/>
      <c r="ET69" s="925"/>
      <c r="EU69" s="925"/>
      <c r="EV69" s="925"/>
      <c r="EW69" s="925"/>
      <c r="EX69" s="925"/>
      <c r="EY69" s="925"/>
      <c r="EZ69" s="925"/>
      <c r="FA69" s="925"/>
      <c r="FB69" s="925"/>
      <c r="FC69" s="925"/>
      <c r="FD69" s="925"/>
      <c r="FE69" s="925"/>
      <c r="FF69" s="925"/>
      <c r="FG69" s="925"/>
      <c r="FH69" s="925"/>
      <c r="FI69" s="925"/>
      <c r="FJ69" s="925"/>
      <c r="FK69" s="925"/>
      <c r="FL69" s="925"/>
      <c r="FM69" s="925"/>
      <c r="FN69" s="925"/>
      <c r="FO69" s="925"/>
      <c r="FP69" s="925"/>
      <c r="FQ69" s="925"/>
      <c r="FR69" s="925"/>
      <c r="FS69" s="925"/>
      <c r="FT69" s="925"/>
      <c r="FU69" s="925"/>
      <c r="FV69" s="925"/>
      <c r="FW69" s="925"/>
      <c r="FX69" s="925"/>
      <c r="FY69" s="925"/>
      <c r="FZ69" s="925"/>
      <c r="GA69" s="925"/>
      <c r="GB69" s="925"/>
      <c r="GC69" s="925"/>
      <c r="GD69" s="925"/>
      <c r="GE69" s="925"/>
      <c r="GF69" s="925"/>
      <c r="GG69" s="925"/>
      <c r="GH69" s="925"/>
      <c r="GI69" s="925"/>
      <c r="GJ69" s="925"/>
      <c r="GK69" s="925"/>
      <c r="GL69" s="925"/>
      <c r="GM69" s="925"/>
      <c r="GN69" s="925"/>
      <c r="GO69" s="925"/>
      <c r="GP69" s="925"/>
      <c r="GQ69" s="925"/>
      <c r="GR69" s="925"/>
      <c r="GS69" s="925"/>
      <c r="GT69" s="925"/>
      <c r="GU69" s="925"/>
      <c r="GV69" s="925"/>
      <c r="GW69" s="925"/>
      <c r="GX69" s="925"/>
      <c r="GY69" s="925"/>
      <c r="GZ69" s="925"/>
      <c r="HA69" s="925"/>
      <c r="HB69" s="925"/>
      <c r="HC69" s="925"/>
      <c r="HD69" s="925"/>
      <c r="HE69" s="925"/>
      <c r="HF69" s="925"/>
      <c r="HG69" s="925"/>
      <c r="HH69" s="925"/>
      <c r="HI69" s="925"/>
      <c r="HJ69" s="925"/>
      <c r="HK69" s="925"/>
      <c r="HL69" s="925"/>
      <c r="HM69" s="925"/>
      <c r="HN69" s="925"/>
      <c r="HO69" s="925"/>
      <c r="HP69" s="925"/>
      <c r="HQ69" s="925"/>
      <c r="HR69" s="925"/>
      <c r="HS69" s="925"/>
      <c r="HT69" s="925"/>
      <c r="HU69" s="925"/>
      <c r="HV69" s="925"/>
      <c r="HW69" s="925"/>
      <c r="HX69" s="925"/>
      <c r="HY69" s="925"/>
      <c r="HZ69" s="925"/>
      <c r="IA69" s="925"/>
      <c r="IB69" s="925"/>
      <c r="IC69" s="925"/>
      <c r="ID69" s="925"/>
      <c r="IE69" s="925"/>
      <c r="IF69" s="925"/>
      <c r="IG69" s="925"/>
      <c r="IH69" s="925"/>
      <c r="II69" s="925"/>
      <c r="IJ69" s="925"/>
      <c r="IK69" s="925"/>
      <c r="IL69" s="925"/>
      <c r="IM69" s="925"/>
      <c r="IN69" s="925"/>
      <c r="IO69" s="925"/>
      <c r="IP69" s="925"/>
      <c r="IQ69" s="925"/>
      <c r="IR69" s="925"/>
      <c r="IS69" s="925"/>
      <c r="IT69" s="925"/>
      <c r="IU69" s="925"/>
      <c r="IV69" s="925"/>
    </row>
    <row r="70" s="923" customFormat="1" ht="20.1" customHeight="1" spans="1:256">
      <c r="A70" s="962" t="s">
        <v>402</v>
      </c>
      <c r="B70" s="963">
        <f>资产负债表!B6</f>
        <v>4559</v>
      </c>
      <c r="C70" s="964"/>
      <c r="D70" s="926"/>
      <c r="E70" s="926"/>
      <c r="F70" s="926"/>
      <c r="G70" s="926"/>
      <c r="H70" s="926"/>
      <c r="I70" s="925"/>
      <c r="J70" s="925"/>
      <c r="K70" s="925"/>
      <c r="L70" s="925"/>
      <c r="M70" s="925"/>
      <c r="N70" s="925"/>
      <c r="O70" s="925"/>
      <c r="P70" s="925"/>
      <c r="Q70" s="925"/>
      <c r="R70" s="925"/>
      <c r="S70" s="925"/>
      <c r="T70" s="925"/>
      <c r="U70" s="925"/>
      <c r="V70" s="925"/>
      <c r="W70" s="925"/>
      <c r="X70" s="925"/>
      <c r="Y70" s="925"/>
      <c r="Z70" s="925"/>
      <c r="AA70" s="925"/>
      <c r="AB70" s="925"/>
      <c r="AC70" s="925"/>
      <c r="AD70" s="925"/>
      <c r="AE70" s="925"/>
      <c r="AF70" s="925"/>
      <c r="AG70" s="925"/>
      <c r="AH70" s="925"/>
      <c r="AI70" s="925"/>
      <c r="AJ70" s="925"/>
      <c r="AK70" s="925"/>
      <c r="AL70" s="925"/>
      <c r="AM70" s="925"/>
      <c r="AN70" s="925"/>
      <c r="AO70" s="925"/>
      <c r="AP70" s="925"/>
      <c r="AQ70" s="925"/>
      <c r="AR70" s="925"/>
      <c r="AS70" s="925"/>
      <c r="AT70" s="925"/>
      <c r="AU70" s="925"/>
      <c r="AV70" s="925"/>
      <c r="AW70" s="925"/>
      <c r="AX70" s="925"/>
      <c r="AY70" s="925"/>
      <c r="AZ70" s="925"/>
      <c r="BA70" s="925"/>
      <c r="BB70" s="925"/>
      <c r="BC70" s="925"/>
      <c r="BD70" s="925"/>
      <c r="BE70" s="925"/>
      <c r="BF70" s="925"/>
      <c r="BG70" s="925"/>
      <c r="BH70" s="925"/>
      <c r="BI70" s="925"/>
      <c r="BJ70" s="925"/>
      <c r="BK70" s="925"/>
      <c r="BL70" s="925"/>
      <c r="BM70" s="925"/>
      <c r="BN70" s="925"/>
      <c r="BO70" s="925"/>
      <c r="BP70" s="925"/>
      <c r="BQ70" s="925"/>
      <c r="BR70" s="925"/>
      <c r="BS70" s="925"/>
      <c r="BT70" s="925"/>
      <c r="BU70" s="925"/>
      <c r="BV70" s="925"/>
      <c r="BW70" s="925"/>
      <c r="BX70" s="925"/>
      <c r="BY70" s="925"/>
      <c r="BZ70" s="925"/>
      <c r="CA70" s="925"/>
      <c r="CB70" s="925"/>
      <c r="CC70" s="925"/>
      <c r="CD70" s="925"/>
      <c r="CE70" s="925"/>
      <c r="CF70" s="925"/>
      <c r="CG70" s="925"/>
      <c r="CH70" s="925"/>
      <c r="CI70" s="925"/>
      <c r="CJ70" s="925"/>
      <c r="CK70" s="925"/>
      <c r="CL70" s="925"/>
      <c r="CM70" s="925"/>
      <c r="CN70" s="925"/>
      <c r="CO70" s="925"/>
      <c r="CP70" s="925"/>
      <c r="CQ70" s="925"/>
      <c r="CR70" s="925"/>
      <c r="CS70" s="925"/>
      <c r="CT70" s="925"/>
      <c r="CU70" s="925"/>
      <c r="CV70" s="925"/>
      <c r="CW70" s="925"/>
      <c r="CX70" s="925"/>
      <c r="CY70" s="925"/>
      <c r="CZ70" s="925"/>
      <c r="DA70" s="925"/>
      <c r="DB70" s="925"/>
      <c r="DC70" s="925"/>
      <c r="DD70" s="925"/>
      <c r="DE70" s="925"/>
      <c r="DF70" s="925"/>
      <c r="DG70" s="925"/>
      <c r="DH70" s="925"/>
      <c r="DI70" s="925"/>
      <c r="DJ70" s="925"/>
      <c r="DK70" s="925"/>
      <c r="DL70" s="925"/>
      <c r="DM70" s="925"/>
      <c r="DN70" s="925"/>
      <c r="DO70" s="925"/>
      <c r="DP70" s="925"/>
      <c r="DQ70" s="925"/>
      <c r="DR70" s="925"/>
      <c r="DS70" s="925"/>
      <c r="DT70" s="925"/>
      <c r="DU70" s="925"/>
      <c r="DV70" s="925"/>
      <c r="DW70" s="925"/>
      <c r="DX70" s="925"/>
      <c r="DY70" s="925"/>
      <c r="DZ70" s="925"/>
      <c r="EA70" s="925"/>
      <c r="EB70" s="925"/>
      <c r="EC70" s="925"/>
      <c r="ED70" s="925"/>
      <c r="EE70" s="925"/>
      <c r="EF70" s="925"/>
      <c r="EG70" s="925"/>
      <c r="EH70" s="925"/>
      <c r="EI70" s="925"/>
      <c r="EJ70" s="925"/>
      <c r="EK70" s="925"/>
      <c r="EL70" s="925"/>
      <c r="EM70" s="925"/>
      <c r="EN70" s="925"/>
      <c r="EO70" s="925"/>
      <c r="EP70" s="925"/>
      <c r="EQ70" s="925"/>
      <c r="ER70" s="925"/>
      <c r="ES70" s="925"/>
      <c r="ET70" s="925"/>
      <c r="EU70" s="925"/>
      <c r="EV70" s="925"/>
      <c r="EW70" s="925"/>
      <c r="EX70" s="925"/>
      <c r="EY70" s="925"/>
      <c r="EZ70" s="925"/>
      <c r="FA70" s="925"/>
      <c r="FB70" s="925"/>
      <c r="FC70" s="925"/>
      <c r="FD70" s="925"/>
      <c r="FE70" s="925"/>
      <c r="FF70" s="925"/>
      <c r="FG70" s="925"/>
      <c r="FH70" s="925"/>
      <c r="FI70" s="925"/>
      <c r="FJ70" s="925"/>
      <c r="FK70" s="925"/>
      <c r="FL70" s="925"/>
      <c r="FM70" s="925"/>
      <c r="FN70" s="925"/>
      <c r="FO70" s="925"/>
      <c r="FP70" s="925"/>
      <c r="FQ70" s="925"/>
      <c r="FR70" s="925"/>
      <c r="FS70" s="925"/>
      <c r="FT70" s="925"/>
      <c r="FU70" s="925"/>
      <c r="FV70" s="925"/>
      <c r="FW70" s="925"/>
      <c r="FX70" s="925"/>
      <c r="FY70" s="925"/>
      <c r="FZ70" s="925"/>
      <c r="GA70" s="925"/>
      <c r="GB70" s="925"/>
      <c r="GC70" s="925"/>
      <c r="GD70" s="925"/>
      <c r="GE70" s="925"/>
      <c r="GF70" s="925"/>
      <c r="GG70" s="925"/>
      <c r="GH70" s="925"/>
      <c r="GI70" s="925"/>
      <c r="GJ70" s="925"/>
      <c r="GK70" s="925"/>
      <c r="GL70" s="925"/>
      <c r="GM70" s="925"/>
      <c r="GN70" s="925"/>
      <c r="GO70" s="925"/>
      <c r="GP70" s="925"/>
      <c r="GQ70" s="925"/>
      <c r="GR70" s="925"/>
      <c r="GS70" s="925"/>
      <c r="GT70" s="925"/>
      <c r="GU70" s="925"/>
      <c r="GV70" s="925"/>
      <c r="GW70" s="925"/>
      <c r="GX70" s="925"/>
      <c r="GY70" s="925"/>
      <c r="GZ70" s="925"/>
      <c r="HA70" s="925"/>
      <c r="HB70" s="925"/>
      <c r="HC70" s="925"/>
      <c r="HD70" s="925"/>
      <c r="HE70" s="925"/>
      <c r="HF70" s="925"/>
      <c r="HG70" s="925"/>
      <c r="HH70" s="925"/>
      <c r="HI70" s="925"/>
      <c r="HJ70" s="925"/>
      <c r="HK70" s="925"/>
      <c r="HL70" s="925"/>
      <c r="HM70" s="925"/>
      <c r="HN70" s="925"/>
      <c r="HO70" s="925"/>
      <c r="HP70" s="925"/>
      <c r="HQ70" s="925"/>
      <c r="HR70" s="925"/>
      <c r="HS70" s="925"/>
      <c r="HT70" s="925"/>
      <c r="HU70" s="925"/>
      <c r="HV70" s="925"/>
      <c r="HW70" s="925"/>
      <c r="HX70" s="925"/>
      <c r="HY70" s="925"/>
      <c r="HZ70" s="925"/>
      <c r="IA70" s="925"/>
      <c r="IB70" s="925"/>
      <c r="IC70" s="925"/>
      <c r="ID70" s="925"/>
      <c r="IE70" s="925"/>
      <c r="IF70" s="925"/>
      <c r="IG70" s="925"/>
      <c r="IH70" s="925"/>
      <c r="II70" s="925"/>
      <c r="IJ70" s="925"/>
      <c r="IK70" s="925"/>
      <c r="IL70" s="925"/>
      <c r="IM70" s="925"/>
      <c r="IN70" s="925"/>
      <c r="IO70" s="925"/>
      <c r="IP70" s="925"/>
      <c r="IQ70" s="925"/>
      <c r="IR70" s="925"/>
      <c r="IS70" s="925"/>
      <c r="IT70" s="925"/>
      <c r="IU70" s="925"/>
      <c r="IV70" s="925"/>
    </row>
    <row r="71" s="923" customFormat="1" ht="20.1" customHeight="1" spans="1:256">
      <c r="A71" s="962" t="s">
        <v>403</v>
      </c>
      <c r="B71" s="963">
        <f>资产负债表!C6</f>
        <v>7889</v>
      </c>
      <c r="C71" s="964"/>
      <c r="D71" s="926"/>
      <c r="E71" s="926"/>
      <c r="F71" s="926"/>
      <c r="G71" s="926"/>
      <c r="H71" s="926"/>
      <c r="I71" s="925"/>
      <c r="J71" s="925"/>
      <c r="K71" s="925"/>
      <c r="L71" s="925"/>
      <c r="M71" s="925"/>
      <c r="N71" s="925"/>
      <c r="O71" s="925"/>
      <c r="P71" s="925"/>
      <c r="Q71" s="925"/>
      <c r="R71" s="925"/>
      <c r="S71" s="925"/>
      <c r="T71" s="925"/>
      <c r="U71" s="925"/>
      <c r="V71" s="925"/>
      <c r="W71" s="925"/>
      <c r="X71" s="925"/>
      <c r="Y71" s="925"/>
      <c r="Z71" s="925"/>
      <c r="AA71" s="925"/>
      <c r="AB71" s="925"/>
      <c r="AC71" s="925"/>
      <c r="AD71" s="925"/>
      <c r="AE71" s="925"/>
      <c r="AF71" s="925"/>
      <c r="AG71" s="925"/>
      <c r="AH71" s="925"/>
      <c r="AI71" s="925"/>
      <c r="AJ71" s="925"/>
      <c r="AK71" s="925"/>
      <c r="AL71" s="925"/>
      <c r="AM71" s="925"/>
      <c r="AN71" s="925"/>
      <c r="AO71" s="925"/>
      <c r="AP71" s="925"/>
      <c r="AQ71" s="925"/>
      <c r="AR71" s="925"/>
      <c r="AS71" s="925"/>
      <c r="AT71" s="925"/>
      <c r="AU71" s="925"/>
      <c r="AV71" s="925"/>
      <c r="AW71" s="925"/>
      <c r="AX71" s="925"/>
      <c r="AY71" s="925"/>
      <c r="AZ71" s="925"/>
      <c r="BA71" s="925"/>
      <c r="BB71" s="925"/>
      <c r="BC71" s="925"/>
      <c r="BD71" s="925"/>
      <c r="BE71" s="925"/>
      <c r="BF71" s="925"/>
      <c r="BG71" s="925"/>
      <c r="BH71" s="925"/>
      <c r="BI71" s="925"/>
      <c r="BJ71" s="925"/>
      <c r="BK71" s="925"/>
      <c r="BL71" s="925"/>
      <c r="BM71" s="925"/>
      <c r="BN71" s="925"/>
      <c r="BO71" s="925"/>
      <c r="BP71" s="925"/>
      <c r="BQ71" s="925"/>
      <c r="BR71" s="925"/>
      <c r="BS71" s="925"/>
      <c r="BT71" s="925"/>
      <c r="BU71" s="925"/>
      <c r="BV71" s="925"/>
      <c r="BW71" s="925"/>
      <c r="BX71" s="925"/>
      <c r="BY71" s="925"/>
      <c r="BZ71" s="925"/>
      <c r="CA71" s="925"/>
      <c r="CB71" s="925"/>
      <c r="CC71" s="925"/>
      <c r="CD71" s="925"/>
      <c r="CE71" s="925"/>
      <c r="CF71" s="925"/>
      <c r="CG71" s="925"/>
      <c r="CH71" s="925"/>
      <c r="CI71" s="925"/>
      <c r="CJ71" s="925"/>
      <c r="CK71" s="925"/>
      <c r="CL71" s="925"/>
      <c r="CM71" s="925"/>
      <c r="CN71" s="925"/>
      <c r="CO71" s="925"/>
      <c r="CP71" s="925"/>
      <c r="CQ71" s="925"/>
      <c r="CR71" s="925"/>
      <c r="CS71" s="925"/>
      <c r="CT71" s="925"/>
      <c r="CU71" s="925"/>
      <c r="CV71" s="925"/>
      <c r="CW71" s="925"/>
      <c r="CX71" s="925"/>
      <c r="CY71" s="925"/>
      <c r="CZ71" s="925"/>
      <c r="DA71" s="925"/>
      <c r="DB71" s="925"/>
      <c r="DC71" s="925"/>
      <c r="DD71" s="925"/>
      <c r="DE71" s="925"/>
      <c r="DF71" s="925"/>
      <c r="DG71" s="925"/>
      <c r="DH71" s="925"/>
      <c r="DI71" s="925"/>
      <c r="DJ71" s="925"/>
      <c r="DK71" s="925"/>
      <c r="DL71" s="925"/>
      <c r="DM71" s="925"/>
      <c r="DN71" s="925"/>
      <c r="DO71" s="925"/>
      <c r="DP71" s="925"/>
      <c r="DQ71" s="925"/>
      <c r="DR71" s="925"/>
      <c r="DS71" s="925"/>
      <c r="DT71" s="925"/>
      <c r="DU71" s="925"/>
      <c r="DV71" s="925"/>
      <c r="DW71" s="925"/>
      <c r="DX71" s="925"/>
      <c r="DY71" s="925"/>
      <c r="DZ71" s="925"/>
      <c r="EA71" s="925"/>
      <c r="EB71" s="925"/>
      <c r="EC71" s="925"/>
      <c r="ED71" s="925"/>
      <c r="EE71" s="925"/>
      <c r="EF71" s="925"/>
      <c r="EG71" s="925"/>
      <c r="EH71" s="925"/>
      <c r="EI71" s="925"/>
      <c r="EJ71" s="925"/>
      <c r="EK71" s="925"/>
      <c r="EL71" s="925"/>
      <c r="EM71" s="925"/>
      <c r="EN71" s="925"/>
      <c r="EO71" s="925"/>
      <c r="EP71" s="925"/>
      <c r="EQ71" s="925"/>
      <c r="ER71" s="925"/>
      <c r="ES71" s="925"/>
      <c r="ET71" s="925"/>
      <c r="EU71" s="925"/>
      <c r="EV71" s="925"/>
      <c r="EW71" s="925"/>
      <c r="EX71" s="925"/>
      <c r="EY71" s="925"/>
      <c r="EZ71" s="925"/>
      <c r="FA71" s="925"/>
      <c r="FB71" s="925"/>
      <c r="FC71" s="925"/>
      <c r="FD71" s="925"/>
      <c r="FE71" s="925"/>
      <c r="FF71" s="925"/>
      <c r="FG71" s="925"/>
      <c r="FH71" s="925"/>
      <c r="FI71" s="925"/>
      <c r="FJ71" s="925"/>
      <c r="FK71" s="925"/>
      <c r="FL71" s="925"/>
      <c r="FM71" s="925"/>
      <c r="FN71" s="925"/>
      <c r="FO71" s="925"/>
      <c r="FP71" s="925"/>
      <c r="FQ71" s="925"/>
      <c r="FR71" s="925"/>
      <c r="FS71" s="925"/>
      <c r="FT71" s="925"/>
      <c r="FU71" s="925"/>
      <c r="FV71" s="925"/>
      <c r="FW71" s="925"/>
      <c r="FX71" s="925"/>
      <c r="FY71" s="925"/>
      <c r="FZ71" s="925"/>
      <c r="GA71" s="925"/>
      <c r="GB71" s="925"/>
      <c r="GC71" s="925"/>
      <c r="GD71" s="925"/>
      <c r="GE71" s="925"/>
      <c r="GF71" s="925"/>
      <c r="GG71" s="925"/>
      <c r="GH71" s="925"/>
      <c r="GI71" s="925"/>
      <c r="GJ71" s="925"/>
      <c r="GK71" s="925"/>
      <c r="GL71" s="925"/>
      <c r="GM71" s="925"/>
      <c r="GN71" s="925"/>
      <c r="GO71" s="925"/>
      <c r="GP71" s="925"/>
      <c r="GQ71" s="925"/>
      <c r="GR71" s="925"/>
      <c r="GS71" s="925"/>
      <c r="GT71" s="925"/>
      <c r="GU71" s="925"/>
      <c r="GV71" s="925"/>
      <c r="GW71" s="925"/>
      <c r="GX71" s="925"/>
      <c r="GY71" s="925"/>
      <c r="GZ71" s="925"/>
      <c r="HA71" s="925"/>
      <c r="HB71" s="925"/>
      <c r="HC71" s="925"/>
      <c r="HD71" s="925"/>
      <c r="HE71" s="925"/>
      <c r="HF71" s="925"/>
      <c r="HG71" s="925"/>
      <c r="HH71" s="925"/>
      <c r="HI71" s="925"/>
      <c r="HJ71" s="925"/>
      <c r="HK71" s="925"/>
      <c r="HL71" s="925"/>
      <c r="HM71" s="925"/>
      <c r="HN71" s="925"/>
      <c r="HO71" s="925"/>
      <c r="HP71" s="925"/>
      <c r="HQ71" s="925"/>
      <c r="HR71" s="925"/>
      <c r="HS71" s="925"/>
      <c r="HT71" s="925"/>
      <c r="HU71" s="925"/>
      <c r="HV71" s="925"/>
      <c r="HW71" s="925"/>
      <c r="HX71" s="925"/>
      <c r="HY71" s="925"/>
      <c r="HZ71" s="925"/>
      <c r="IA71" s="925"/>
      <c r="IB71" s="925"/>
      <c r="IC71" s="925"/>
      <c r="ID71" s="925"/>
      <c r="IE71" s="925"/>
      <c r="IF71" s="925"/>
      <c r="IG71" s="925"/>
      <c r="IH71" s="925"/>
      <c r="II71" s="925"/>
      <c r="IJ71" s="925"/>
      <c r="IK71" s="925"/>
      <c r="IL71" s="925"/>
      <c r="IM71" s="925"/>
      <c r="IN71" s="925"/>
      <c r="IO71" s="925"/>
      <c r="IP71" s="925"/>
      <c r="IQ71" s="925"/>
      <c r="IR71" s="925"/>
      <c r="IS71" s="925"/>
      <c r="IT71" s="925"/>
      <c r="IU71" s="925"/>
      <c r="IV71" s="925"/>
    </row>
    <row r="72" s="923" customFormat="1" ht="20.1" customHeight="1" spans="1:256">
      <c r="A72" s="962" t="s">
        <v>404</v>
      </c>
      <c r="B72" s="964"/>
      <c r="C72" s="964"/>
      <c r="D72" s="926"/>
      <c r="E72" s="926"/>
      <c r="F72" s="926"/>
      <c r="G72" s="926"/>
      <c r="H72" s="926"/>
      <c r="I72" s="925"/>
      <c r="J72" s="925"/>
      <c r="K72" s="925"/>
      <c r="L72" s="925"/>
      <c r="M72" s="925"/>
      <c r="N72" s="925"/>
      <c r="O72" s="925"/>
      <c r="P72" s="925"/>
      <c r="Q72" s="925"/>
      <c r="R72" s="925"/>
      <c r="S72" s="925"/>
      <c r="T72" s="925"/>
      <c r="U72" s="925"/>
      <c r="V72" s="925"/>
      <c r="W72" s="925"/>
      <c r="X72" s="925"/>
      <c r="Y72" s="925"/>
      <c r="Z72" s="925"/>
      <c r="AA72" s="925"/>
      <c r="AB72" s="925"/>
      <c r="AC72" s="925"/>
      <c r="AD72" s="925"/>
      <c r="AE72" s="925"/>
      <c r="AF72" s="925"/>
      <c r="AG72" s="925"/>
      <c r="AH72" s="925"/>
      <c r="AI72" s="925"/>
      <c r="AJ72" s="925"/>
      <c r="AK72" s="925"/>
      <c r="AL72" s="925"/>
      <c r="AM72" s="925"/>
      <c r="AN72" s="925"/>
      <c r="AO72" s="925"/>
      <c r="AP72" s="925"/>
      <c r="AQ72" s="925"/>
      <c r="AR72" s="925"/>
      <c r="AS72" s="925"/>
      <c r="AT72" s="925"/>
      <c r="AU72" s="925"/>
      <c r="AV72" s="925"/>
      <c r="AW72" s="925"/>
      <c r="AX72" s="925"/>
      <c r="AY72" s="925"/>
      <c r="AZ72" s="925"/>
      <c r="BA72" s="925"/>
      <c r="BB72" s="925"/>
      <c r="BC72" s="925"/>
      <c r="BD72" s="925"/>
      <c r="BE72" s="925"/>
      <c r="BF72" s="925"/>
      <c r="BG72" s="925"/>
      <c r="BH72" s="925"/>
      <c r="BI72" s="925"/>
      <c r="BJ72" s="925"/>
      <c r="BK72" s="925"/>
      <c r="BL72" s="925"/>
      <c r="BM72" s="925"/>
      <c r="BN72" s="925"/>
      <c r="BO72" s="925"/>
      <c r="BP72" s="925"/>
      <c r="BQ72" s="925"/>
      <c r="BR72" s="925"/>
      <c r="BS72" s="925"/>
      <c r="BT72" s="925"/>
      <c r="BU72" s="925"/>
      <c r="BV72" s="925"/>
      <c r="BW72" s="925"/>
      <c r="BX72" s="925"/>
      <c r="BY72" s="925"/>
      <c r="BZ72" s="925"/>
      <c r="CA72" s="925"/>
      <c r="CB72" s="925"/>
      <c r="CC72" s="925"/>
      <c r="CD72" s="925"/>
      <c r="CE72" s="925"/>
      <c r="CF72" s="925"/>
      <c r="CG72" s="925"/>
      <c r="CH72" s="925"/>
      <c r="CI72" s="925"/>
      <c r="CJ72" s="925"/>
      <c r="CK72" s="925"/>
      <c r="CL72" s="925"/>
      <c r="CM72" s="925"/>
      <c r="CN72" s="925"/>
      <c r="CO72" s="925"/>
      <c r="CP72" s="925"/>
      <c r="CQ72" s="925"/>
      <c r="CR72" s="925"/>
      <c r="CS72" s="925"/>
      <c r="CT72" s="925"/>
      <c r="CU72" s="925"/>
      <c r="CV72" s="925"/>
      <c r="CW72" s="925"/>
      <c r="CX72" s="925"/>
      <c r="CY72" s="925"/>
      <c r="CZ72" s="925"/>
      <c r="DA72" s="925"/>
      <c r="DB72" s="925"/>
      <c r="DC72" s="925"/>
      <c r="DD72" s="925"/>
      <c r="DE72" s="925"/>
      <c r="DF72" s="925"/>
      <c r="DG72" s="925"/>
      <c r="DH72" s="925"/>
      <c r="DI72" s="925"/>
      <c r="DJ72" s="925"/>
      <c r="DK72" s="925"/>
      <c r="DL72" s="925"/>
      <c r="DM72" s="925"/>
      <c r="DN72" s="925"/>
      <c r="DO72" s="925"/>
      <c r="DP72" s="925"/>
      <c r="DQ72" s="925"/>
      <c r="DR72" s="925"/>
      <c r="DS72" s="925"/>
      <c r="DT72" s="925"/>
      <c r="DU72" s="925"/>
      <c r="DV72" s="925"/>
      <c r="DW72" s="925"/>
      <c r="DX72" s="925"/>
      <c r="DY72" s="925"/>
      <c r="DZ72" s="925"/>
      <c r="EA72" s="925"/>
      <c r="EB72" s="925"/>
      <c r="EC72" s="925"/>
      <c r="ED72" s="925"/>
      <c r="EE72" s="925"/>
      <c r="EF72" s="925"/>
      <c r="EG72" s="925"/>
      <c r="EH72" s="925"/>
      <c r="EI72" s="925"/>
      <c r="EJ72" s="925"/>
      <c r="EK72" s="925"/>
      <c r="EL72" s="925"/>
      <c r="EM72" s="925"/>
      <c r="EN72" s="925"/>
      <c r="EO72" s="925"/>
      <c r="EP72" s="925"/>
      <c r="EQ72" s="925"/>
      <c r="ER72" s="925"/>
      <c r="ES72" s="925"/>
      <c r="ET72" s="925"/>
      <c r="EU72" s="925"/>
      <c r="EV72" s="925"/>
      <c r="EW72" s="925"/>
      <c r="EX72" s="925"/>
      <c r="EY72" s="925"/>
      <c r="EZ72" s="925"/>
      <c r="FA72" s="925"/>
      <c r="FB72" s="925"/>
      <c r="FC72" s="925"/>
      <c r="FD72" s="925"/>
      <c r="FE72" s="925"/>
      <c r="FF72" s="925"/>
      <c r="FG72" s="925"/>
      <c r="FH72" s="925"/>
      <c r="FI72" s="925"/>
      <c r="FJ72" s="925"/>
      <c r="FK72" s="925"/>
      <c r="FL72" s="925"/>
      <c r="FM72" s="925"/>
      <c r="FN72" s="925"/>
      <c r="FO72" s="925"/>
      <c r="FP72" s="925"/>
      <c r="FQ72" s="925"/>
      <c r="FR72" s="925"/>
      <c r="FS72" s="925"/>
      <c r="FT72" s="925"/>
      <c r="FU72" s="925"/>
      <c r="FV72" s="925"/>
      <c r="FW72" s="925"/>
      <c r="FX72" s="925"/>
      <c r="FY72" s="925"/>
      <c r="FZ72" s="925"/>
      <c r="GA72" s="925"/>
      <c r="GB72" s="925"/>
      <c r="GC72" s="925"/>
      <c r="GD72" s="925"/>
      <c r="GE72" s="925"/>
      <c r="GF72" s="925"/>
      <c r="GG72" s="925"/>
      <c r="GH72" s="925"/>
      <c r="GI72" s="925"/>
      <c r="GJ72" s="925"/>
      <c r="GK72" s="925"/>
      <c r="GL72" s="925"/>
      <c r="GM72" s="925"/>
      <c r="GN72" s="925"/>
      <c r="GO72" s="925"/>
      <c r="GP72" s="925"/>
      <c r="GQ72" s="925"/>
      <c r="GR72" s="925"/>
      <c r="GS72" s="925"/>
      <c r="GT72" s="925"/>
      <c r="GU72" s="925"/>
      <c r="GV72" s="925"/>
      <c r="GW72" s="925"/>
      <c r="GX72" s="925"/>
      <c r="GY72" s="925"/>
      <c r="GZ72" s="925"/>
      <c r="HA72" s="925"/>
      <c r="HB72" s="925"/>
      <c r="HC72" s="925"/>
      <c r="HD72" s="925"/>
      <c r="HE72" s="925"/>
      <c r="HF72" s="925"/>
      <c r="HG72" s="925"/>
      <c r="HH72" s="925"/>
      <c r="HI72" s="925"/>
      <c r="HJ72" s="925"/>
      <c r="HK72" s="925"/>
      <c r="HL72" s="925"/>
      <c r="HM72" s="925"/>
      <c r="HN72" s="925"/>
      <c r="HO72" s="925"/>
      <c r="HP72" s="925"/>
      <c r="HQ72" s="925"/>
      <c r="HR72" s="925"/>
      <c r="HS72" s="925"/>
      <c r="HT72" s="925"/>
      <c r="HU72" s="925"/>
      <c r="HV72" s="925"/>
      <c r="HW72" s="925"/>
      <c r="HX72" s="925"/>
      <c r="HY72" s="925"/>
      <c r="HZ72" s="925"/>
      <c r="IA72" s="925"/>
      <c r="IB72" s="925"/>
      <c r="IC72" s="925"/>
      <c r="ID72" s="925"/>
      <c r="IE72" s="925"/>
      <c r="IF72" s="925"/>
      <c r="IG72" s="925"/>
      <c r="IH72" s="925"/>
      <c r="II72" s="925"/>
      <c r="IJ72" s="925"/>
      <c r="IK72" s="925"/>
      <c r="IL72" s="925"/>
      <c r="IM72" s="925"/>
      <c r="IN72" s="925"/>
      <c r="IO72" s="925"/>
      <c r="IP72" s="925"/>
      <c r="IQ72" s="925"/>
      <c r="IR72" s="925"/>
      <c r="IS72" s="925"/>
      <c r="IT72" s="925"/>
      <c r="IU72" s="925"/>
      <c r="IV72" s="925"/>
    </row>
    <row r="73" s="923" customFormat="1" ht="20.1" customHeight="1" spans="1:256">
      <c r="A73" s="962" t="s">
        <v>405</v>
      </c>
      <c r="B73" s="964"/>
      <c r="C73" s="964"/>
      <c r="D73" s="926"/>
      <c r="E73" s="926"/>
      <c r="F73" s="926"/>
      <c r="G73" s="926"/>
      <c r="H73" s="926"/>
      <c r="I73" s="925"/>
      <c r="J73" s="925"/>
      <c r="K73" s="925"/>
      <c r="L73" s="925"/>
      <c r="M73" s="925"/>
      <c r="N73" s="925"/>
      <c r="O73" s="925"/>
      <c r="P73" s="925"/>
      <c r="Q73" s="925"/>
      <c r="R73" s="925"/>
      <c r="S73" s="925"/>
      <c r="T73" s="925"/>
      <c r="U73" s="925"/>
      <c r="V73" s="925"/>
      <c r="W73" s="925"/>
      <c r="X73" s="925"/>
      <c r="Y73" s="925"/>
      <c r="Z73" s="925"/>
      <c r="AA73" s="925"/>
      <c r="AB73" s="925"/>
      <c r="AC73" s="925"/>
      <c r="AD73" s="925"/>
      <c r="AE73" s="925"/>
      <c r="AF73" s="925"/>
      <c r="AG73" s="925"/>
      <c r="AH73" s="925"/>
      <c r="AI73" s="925"/>
      <c r="AJ73" s="925"/>
      <c r="AK73" s="925"/>
      <c r="AL73" s="925"/>
      <c r="AM73" s="925"/>
      <c r="AN73" s="925"/>
      <c r="AO73" s="925"/>
      <c r="AP73" s="925"/>
      <c r="AQ73" s="925"/>
      <c r="AR73" s="925"/>
      <c r="AS73" s="925"/>
      <c r="AT73" s="925"/>
      <c r="AU73" s="925"/>
      <c r="AV73" s="925"/>
      <c r="AW73" s="925"/>
      <c r="AX73" s="925"/>
      <c r="AY73" s="925"/>
      <c r="AZ73" s="925"/>
      <c r="BA73" s="925"/>
      <c r="BB73" s="925"/>
      <c r="BC73" s="925"/>
      <c r="BD73" s="925"/>
      <c r="BE73" s="925"/>
      <c r="BF73" s="925"/>
      <c r="BG73" s="925"/>
      <c r="BH73" s="925"/>
      <c r="BI73" s="925"/>
      <c r="BJ73" s="925"/>
      <c r="BK73" s="925"/>
      <c r="BL73" s="925"/>
      <c r="BM73" s="925"/>
      <c r="BN73" s="925"/>
      <c r="BO73" s="925"/>
      <c r="BP73" s="925"/>
      <c r="BQ73" s="925"/>
      <c r="BR73" s="925"/>
      <c r="BS73" s="925"/>
      <c r="BT73" s="925"/>
      <c r="BU73" s="925"/>
      <c r="BV73" s="925"/>
      <c r="BW73" s="925"/>
      <c r="BX73" s="925"/>
      <c r="BY73" s="925"/>
      <c r="BZ73" s="925"/>
      <c r="CA73" s="925"/>
      <c r="CB73" s="925"/>
      <c r="CC73" s="925"/>
      <c r="CD73" s="925"/>
      <c r="CE73" s="925"/>
      <c r="CF73" s="925"/>
      <c r="CG73" s="925"/>
      <c r="CH73" s="925"/>
      <c r="CI73" s="925"/>
      <c r="CJ73" s="925"/>
      <c r="CK73" s="925"/>
      <c r="CL73" s="925"/>
      <c r="CM73" s="925"/>
      <c r="CN73" s="925"/>
      <c r="CO73" s="925"/>
      <c r="CP73" s="925"/>
      <c r="CQ73" s="925"/>
      <c r="CR73" s="925"/>
      <c r="CS73" s="925"/>
      <c r="CT73" s="925"/>
      <c r="CU73" s="925"/>
      <c r="CV73" s="925"/>
      <c r="CW73" s="925"/>
      <c r="CX73" s="925"/>
      <c r="CY73" s="925"/>
      <c r="CZ73" s="925"/>
      <c r="DA73" s="925"/>
      <c r="DB73" s="925"/>
      <c r="DC73" s="925"/>
      <c r="DD73" s="925"/>
      <c r="DE73" s="925"/>
      <c r="DF73" s="925"/>
      <c r="DG73" s="925"/>
      <c r="DH73" s="925"/>
      <c r="DI73" s="925"/>
      <c r="DJ73" s="925"/>
      <c r="DK73" s="925"/>
      <c r="DL73" s="925"/>
      <c r="DM73" s="925"/>
      <c r="DN73" s="925"/>
      <c r="DO73" s="925"/>
      <c r="DP73" s="925"/>
      <c r="DQ73" s="925"/>
      <c r="DR73" s="925"/>
      <c r="DS73" s="925"/>
      <c r="DT73" s="925"/>
      <c r="DU73" s="925"/>
      <c r="DV73" s="925"/>
      <c r="DW73" s="925"/>
      <c r="DX73" s="925"/>
      <c r="DY73" s="925"/>
      <c r="DZ73" s="925"/>
      <c r="EA73" s="925"/>
      <c r="EB73" s="925"/>
      <c r="EC73" s="925"/>
      <c r="ED73" s="925"/>
      <c r="EE73" s="925"/>
      <c r="EF73" s="925"/>
      <c r="EG73" s="925"/>
      <c r="EH73" s="925"/>
      <c r="EI73" s="925"/>
      <c r="EJ73" s="925"/>
      <c r="EK73" s="925"/>
      <c r="EL73" s="925"/>
      <c r="EM73" s="925"/>
      <c r="EN73" s="925"/>
      <c r="EO73" s="925"/>
      <c r="EP73" s="925"/>
      <c r="EQ73" s="925"/>
      <c r="ER73" s="925"/>
      <c r="ES73" s="925"/>
      <c r="ET73" s="925"/>
      <c r="EU73" s="925"/>
      <c r="EV73" s="925"/>
      <c r="EW73" s="925"/>
      <c r="EX73" s="925"/>
      <c r="EY73" s="925"/>
      <c r="EZ73" s="925"/>
      <c r="FA73" s="925"/>
      <c r="FB73" s="925"/>
      <c r="FC73" s="925"/>
      <c r="FD73" s="925"/>
      <c r="FE73" s="925"/>
      <c r="FF73" s="925"/>
      <c r="FG73" s="925"/>
      <c r="FH73" s="925"/>
      <c r="FI73" s="925"/>
      <c r="FJ73" s="925"/>
      <c r="FK73" s="925"/>
      <c r="FL73" s="925"/>
      <c r="FM73" s="925"/>
      <c r="FN73" s="925"/>
      <c r="FO73" s="925"/>
      <c r="FP73" s="925"/>
      <c r="FQ73" s="925"/>
      <c r="FR73" s="925"/>
      <c r="FS73" s="925"/>
      <c r="FT73" s="925"/>
      <c r="FU73" s="925"/>
      <c r="FV73" s="925"/>
      <c r="FW73" s="925"/>
      <c r="FX73" s="925"/>
      <c r="FY73" s="925"/>
      <c r="FZ73" s="925"/>
      <c r="GA73" s="925"/>
      <c r="GB73" s="925"/>
      <c r="GC73" s="925"/>
      <c r="GD73" s="925"/>
      <c r="GE73" s="925"/>
      <c r="GF73" s="925"/>
      <c r="GG73" s="925"/>
      <c r="GH73" s="925"/>
      <c r="GI73" s="925"/>
      <c r="GJ73" s="925"/>
      <c r="GK73" s="925"/>
      <c r="GL73" s="925"/>
      <c r="GM73" s="925"/>
      <c r="GN73" s="925"/>
      <c r="GO73" s="925"/>
      <c r="GP73" s="925"/>
      <c r="GQ73" s="925"/>
      <c r="GR73" s="925"/>
      <c r="GS73" s="925"/>
      <c r="GT73" s="925"/>
      <c r="GU73" s="925"/>
      <c r="GV73" s="925"/>
      <c r="GW73" s="925"/>
      <c r="GX73" s="925"/>
      <c r="GY73" s="925"/>
      <c r="GZ73" s="925"/>
      <c r="HA73" s="925"/>
      <c r="HB73" s="925"/>
      <c r="HC73" s="925"/>
      <c r="HD73" s="925"/>
      <c r="HE73" s="925"/>
      <c r="HF73" s="925"/>
      <c r="HG73" s="925"/>
      <c r="HH73" s="925"/>
      <c r="HI73" s="925"/>
      <c r="HJ73" s="925"/>
      <c r="HK73" s="925"/>
      <c r="HL73" s="925"/>
      <c r="HM73" s="925"/>
      <c r="HN73" s="925"/>
      <c r="HO73" s="925"/>
      <c r="HP73" s="925"/>
      <c r="HQ73" s="925"/>
      <c r="HR73" s="925"/>
      <c r="HS73" s="925"/>
      <c r="HT73" s="925"/>
      <c r="HU73" s="925"/>
      <c r="HV73" s="925"/>
      <c r="HW73" s="925"/>
      <c r="HX73" s="925"/>
      <c r="HY73" s="925"/>
      <c r="HZ73" s="925"/>
      <c r="IA73" s="925"/>
      <c r="IB73" s="925"/>
      <c r="IC73" s="925"/>
      <c r="ID73" s="925"/>
      <c r="IE73" s="925"/>
      <c r="IF73" s="925"/>
      <c r="IG73" s="925"/>
      <c r="IH73" s="925"/>
      <c r="II73" s="925"/>
      <c r="IJ73" s="925"/>
      <c r="IK73" s="925"/>
      <c r="IL73" s="925"/>
      <c r="IM73" s="925"/>
      <c r="IN73" s="925"/>
      <c r="IO73" s="925"/>
      <c r="IP73" s="925"/>
      <c r="IQ73" s="925"/>
      <c r="IR73" s="925"/>
      <c r="IS73" s="925"/>
      <c r="IT73" s="925"/>
      <c r="IU73" s="925"/>
      <c r="IV73" s="925"/>
    </row>
    <row r="74" s="923" customFormat="1" ht="20.1" customHeight="1" spans="1:256">
      <c r="A74" s="962" t="s">
        <v>406</v>
      </c>
      <c r="B74" s="963">
        <f>B70-B71+B72-B73</f>
        <v>-3330</v>
      </c>
      <c r="C74" s="963">
        <f>C70-C71+C72-C73</f>
        <v>0</v>
      </c>
      <c r="D74" s="926"/>
      <c r="E74" s="926"/>
      <c r="F74" s="926"/>
      <c r="G74" s="926"/>
      <c r="H74" s="926"/>
      <c r="I74" s="925"/>
      <c r="J74" s="925"/>
      <c r="K74" s="925"/>
      <c r="L74" s="925"/>
      <c r="M74" s="925"/>
      <c r="N74" s="925"/>
      <c r="O74" s="925"/>
      <c r="P74" s="925"/>
      <c r="Q74" s="925"/>
      <c r="R74" s="925"/>
      <c r="S74" s="925"/>
      <c r="T74" s="925"/>
      <c r="U74" s="925"/>
      <c r="V74" s="925"/>
      <c r="W74" s="925"/>
      <c r="X74" s="925"/>
      <c r="Y74" s="925"/>
      <c r="Z74" s="925"/>
      <c r="AA74" s="925"/>
      <c r="AB74" s="925"/>
      <c r="AC74" s="925"/>
      <c r="AD74" s="925"/>
      <c r="AE74" s="925"/>
      <c r="AF74" s="925"/>
      <c r="AG74" s="925"/>
      <c r="AH74" s="925"/>
      <c r="AI74" s="925"/>
      <c r="AJ74" s="925"/>
      <c r="AK74" s="925"/>
      <c r="AL74" s="925"/>
      <c r="AM74" s="925"/>
      <c r="AN74" s="925"/>
      <c r="AO74" s="925"/>
      <c r="AP74" s="925"/>
      <c r="AQ74" s="925"/>
      <c r="AR74" s="925"/>
      <c r="AS74" s="925"/>
      <c r="AT74" s="925"/>
      <c r="AU74" s="925"/>
      <c r="AV74" s="925"/>
      <c r="AW74" s="925"/>
      <c r="AX74" s="925"/>
      <c r="AY74" s="925"/>
      <c r="AZ74" s="925"/>
      <c r="BA74" s="925"/>
      <c r="BB74" s="925"/>
      <c r="BC74" s="925"/>
      <c r="BD74" s="925"/>
      <c r="BE74" s="925"/>
      <c r="BF74" s="925"/>
      <c r="BG74" s="925"/>
      <c r="BH74" s="925"/>
      <c r="BI74" s="925"/>
      <c r="BJ74" s="925"/>
      <c r="BK74" s="925"/>
      <c r="BL74" s="925"/>
      <c r="BM74" s="925"/>
      <c r="BN74" s="925"/>
      <c r="BO74" s="925"/>
      <c r="BP74" s="925"/>
      <c r="BQ74" s="925"/>
      <c r="BR74" s="925"/>
      <c r="BS74" s="925"/>
      <c r="BT74" s="925"/>
      <c r="BU74" s="925"/>
      <c r="BV74" s="925"/>
      <c r="BW74" s="925"/>
      <c r="BX74" s="925"/>
      <c r="BY74" s="925"/>
      <c r="BZ74" s="925"/>
      <c r="CA74" s="925"/>
      <c r="CB74" s="925"/>
      <c r="CC74" s="925"/>
      <c r="CD74" s="925"/>
      <c r="CE74" s="925"/>
      <c r="CF74" s="925"/>
      <c r="CG74" s="925"/>
      <c r="CH74" s="925"/>
      <c r="CI74" s="925"/>
      <c r="CJ74" s="925"/>
      <c r="CK74" s="925"/>
      <c r="CL74" s="925"/>
      <c r="CM74" s="925"/>
      <c r="CN74" s="925"/>
      <c r="CO74" s="925"/>
      <c r="CP74" s="925"/>
      <c r="CQ74" s="925"/>
      <c r="CR74" s="925"/>
      <c r="CS74" s="925"/>
      <c r="CT74" s="925"/>
      <c r="CU74" s="925"/>
      <c r="CV74" s="925"/>
      <c r="CW74" s="925"/>
      <c r="CX74" s="925"/>
      <c r="CY74" s="925"/>
      <c r="CZ74" s="925"/>
      <c r="DA74" s="925"/>
      <c r="DB74" s="925"/>
      <c r="DC74" s="925"/>
      <c r="DD74" s="925"/>
      <c r="DE74" s="925"/>
      <c r="DF74" s="925"/>
      <c r="DG74" s="925"/>
      <c r="DH74" s="925"/>
      <c r="DI74" s="925"/>
      <c r="DJ74" s="925"/>
      <c r="DK74" s="925"/>
      <c r="DL74" s="925"/>
      <c r="DM74" s="925"/>
      <c r="DN74" s="925"/>
      <c r="DO74" s="925"/>
      <c r="DP74" s="925"/>
      <c r="DQ74" s="925"/>
      <c r="DR74" s="925"/>
      <c r="DS74" s="925"/>
      <c r="DT74" s="925"/>
      <c r="DU74" s="925"/>
      <c r="DV74" s="925"/>
      <c r="DW74" s="925"/>
      <c r="DX74" s="925"/>
      <c r="DY74" s="925"/>
      <c r="DZ74" s="925"/>
      <c r="EA74" s="925"/>
      <c r="EB74" s="925"/>
      <c r="EC74" s="925"/>
      <c r="ED74" s="925"/>
      <c r="EE74" s="925"/>
      <c r="EF74" s="925"/>
      <c r="EG74" s="925"/>
      <c r="EH74" s="925"/>
      <c r="EI74" s="925"/>
      <c r="EJ74" s="925"/>
      <c r="EK74" s="925"/>
      <c r="EL74" s="925"/>
      <c r="EM74" s="925"/>
      <c r="EN74" s="925"/>
      <c r="EO74" s="925"/>
      <c r="EP74" s="925"/>
      <c r="EQ74" s="925"/>
      <c r="ER74" s="925"/>
      <c r="ES74" s="925"/>
      <c r="ET74" s="925"/>
      <c r="EU74" s="925"/>
      <c r="EV74" s="925"/>
      <c r="EW74" s="925"/>
      <c r="EX74" s="925"/>
      <c r="EY74" s="925"/>
      <c r="EZ74" s="925"/>
      <c r="FA74" s="925"/>
      <c r="FB74" s="925"/>
      <c r="FC74" s="925"/>
      <c r="FD74" s="925"/>
      <c r="FE74" s="925"/>
      <c r="FF74" s="925"/>
      <c r="FG74" s="925"/>
      <c r="FH74" s="925"/>
      <c r="FI74" s="925"/>
      <c r="FJ74" s="925"/>
      <c r="FK74" s="925"/>
      <c r="FL74" s="925"/>
      <c r="FM74" s="925"/>
      <c r="FN74" s="925"/>
      <c r="FO74" s="925"/>
      <c r="FP74" s="925"/>
      <c r="FQ74" s="925"/>
      <c r="FR74" s="925"/>
      <c r="FS74" s="925"/>
      <c r="FT74" s="925"/>
      <c r="FU74" s="925"/>
      <c r="FV74" s="925"/>
      <c r="FW74" s="925"/>
      <c r="FX74" s="925"/>
      <c r="FY74" s="925"/>
      <c r="FZ74" s="925"/>
      <c r="GA74" s="925"/>
      <c r="GB74" s="925"/>
      <c r="GC74" s="925"/>
      <c r="GD74" s="925"/>
      <c r="GE74" s="925"/>
      <c r="GF74" s="925"/>
      <c r="GG74" s="925"/>
      <c r="GH74" s="925"/>
      <c r="GI74" s="925"/>
      <c r="GJ74" s="925"/>
      <c r="GK74" s="925"/>
      <c r="GL74" s="925"/>
      <c r="GM74" s="925"/>
      <c r="GN74" s="925"/>
      <c r="GO74" s="925"/>
      <c r="GP74" s="925"/>
      <c r="GQ74" s="925"/>
      <c r="GR74" s="925"/>
      <c r="GS74" s="925"/>
      <c r="GT74" s="925"/>
      <c r="GU74" s="925"/>
      <c r="GV74" s="925"/>
      <c r="GW74" s="925"/>
      <c r="GX74" s="925"/>
      <c r="GY74" s="925"/>
      <c r="GZ74" s="925"/>
      <c r="HA74" s="925"/>
      <c r="HB74" s="925"/>
      <c r="HC74" s="925"/>
      <c r="HD74" s="925"/>
      <c r="HE74" s="925"/>
      <c r="HF74" s="925"/>
      <c r="HG74" s="925"/>
      <c r="HH74" s="925"/>
      <c r="HI74" s="925"/>
      <c r="HJ74" s="925"/>
      <c r="HK74" s="925"/>
      <c r="HL74" s="925"/>
      <c r="HM74" s="925"/>
      <c r="HN74" s="925"/>
      <c r="HO74" s="925"/>
      <c r="HP74" s="925"/>
      <c r="HQ74" s="925"/>
      <c r="HR74" s="925"/>
      <c r="HS74" s="925"/>
      <c r="HT74" s="925"/>
      <c r="HU74" s="925"/>
      <c r="HV74" s="925"/>
      <c r="HW74" s="925"/>
      <c r="HX74" s="925"/>
      <c r="HY74" s="925"/>
      <c r="HZ74" s="925"/>
      <c r="IA74" s="925"/>
      <c r="IB74" s="925"/>
      <c r="IC74" s="925"/>
      <c r="ID74" s="925"/>
      <c r="IE74" s="925"/>
      <c r="IF74" s="925"/>
      <c r="IG74" s="925"/>
      <c r="IH74" s="925"/>
      <c r="II74" s="925"/>
      <c r="IJ74" s="925"/>
      <c r="IK74" s="925"/>
      <c r="IL74" s="925"/>
      <c r="IM74" s="925"/>
      <c r="IN74" s="925"/>
      <c r="IO74" s="925"/>
      <c r="IP74" s="925"/>
      <c r="IQ74" s="925"/>
      <c r="IR74" s="925"/>
      <c r="IS74" s="925"/>
      <c r="IT74" s="925"/>
      <c r="IU74" s="925"/>
      <c r="IV74" s="925"/>
    </row>
    <row r="75" s="923" customFormat="1" spans="1:256">
      <c r="A75" s="925"/>
      <c r="B75" s="925"/>
      <c r="C75" s="925"/>
      <c r="D75" s="926"/>
      <c r="E75" s="926"/>
      <c r="F75" s="926"/>
      <c r="G75" s="926"/>
      <c r="H75" s="926"/>
      <c r="I75" s="925"/>
      <c r="J75" s="925"/>
      <c r="K75" s="925"/>
      <c r="L75" s="925"/>
      <c r="M75" s="925"/>
      <c r="N75" s="925"/>
      <c r="O75" s="925"/>
      <c r="P75" s="925"/>
      <c r="Q75" s="925"/>
      <c r="R75" s="925"/>
      <c r="S75" s="925"/>
      <c r="T75" s="925"/>
      <c r="U75" s="925"/>
      <c r="V75" s="925"/>
      <c r="W75" s="925"/>
      <c r="X75" s="925"/>
      <c r="Y75" s="925"/>
      <c r="Z75" s="925"/>
      <c r="AA75" s="925"/>
      <c r="AB75" s="925"/>
      <c r="AC75" s="925"/>
      <c r="AD75" s="925"/>
      <c r="AE75" s="925"/>
      <c r="AF75" s="925"/>
      <c r="AG75" s="925"/>
      <c r="AH75" s="925"/>
      <c r="AI75" s="925"/>
      <c r="AJ75" s="925"/>
      <c r="AK75" s="925"/>
      <c r="AL75" s="925"/>
      <c r="AM75" s="925"/>
      <c r="AN75" s="925"/>
      <c r="AO75" s="925"/>
      <c r="AP75" s="925"/>
      <c r="AQ75" s="925"/>
      <c r="AR75" s="925"/>
      <c r="AS75" s="925"/>
      <c r="AT75" s="925"/>
      <c r="AU75" s="925"/>
      <c r="AV75" s="925"/>
      <c r="AW75" s="925"/>
      <c r="AX75" s="925"/>
      <c r="AY75" s="925"/>
      <c r="AZ75" s="925"/>
      <c r="BA75" s="925"/>
      <c r="BB75" s="925"/>
      <c r="BC75" s="925"/>
      <c r="BD75" s="925"/>
      <c r="BE75" s="925"/>
      <c r="BF75" s="925"/>
      <c r="BG75" s="925"/>
      <c r="BH75" s="925"/>
      <c r="BI75" s="925"/>
      <c r="BJ75" s="925"/>
      <c r="BK75" s="925"/>
      <c r="BL75" s="925"/>
      <c r="BM75" s="925"/>
      <c r="BN75" s="925"/>
      <c r="BO75" s="925"/>
      <c r="BP75" s="925"/>
      <c r="BQ75" s="925"/>
      <c r="BR75" s="925"/>
      <c r="BS75" s="925"/>
      <c r="BT75" s="925"/>
      <c r="BU75" s="925"/>
      <c r="BV75" s="925"/>
      <c r="BW75" s="925"/>
      <c r="BX75" s="925"/>
      <c r="BY75" s="925"/>
      <c r="BZ75" s="925"/>
      <c r="CA75" s="925"/>
      <c r="CB75" s="925"/>
      <c r="CC75" s="925"/>
      <c r="CD75" s="925"/>
      <c r="CE75" s="925"/>
      <c r="CF75" s="925"/>
      <c r="CG75" s="925"/>
      <c r="CH75" s="925"/>
      <c r="CI75" s="925"/>
      <c r="CJ75" s="925"/>
      <c r="CK75" s="925"/>
      <c r="CL75" s="925"/>
      <c r="CM75" s="925"/>
      <c r="CN75" s="925"/>
      <c r="CO75" s="925"/>
      <c r="CP75" s="925"/>
      <c r="CQ75" s="925"/>
      <c r="CR75" s="925"/>
      <c r="CS75" s="925"/>
      <c r="CT75" s="925"/>
      <c r="CU75" s="925"/>
      <c r="CV75" s="925"/>
      <c r="CW75" s="925"/>
      <c r="CX75" s="925"/>
      <c r="CY75" s="925"/>
      <c r="CZ75" s="925"/>
      <c r="DA75" s="925"/>
      <c r="DB75" s="925"/>
      <c r="DC75" s="925"/>
      <c r="DD75" s="925"/>
      <c r="DE75" s="925"/>
      <c r="DF75" s="925"/>
      <c r="DG75" s="925"/>
      <c r="DH75" s="925"/>
      <c r="DI75" s="925"/>
      <c r="DJ75" s="925"/>
      <c r="DK75" s="925"/>
      <c r="DL75" s="925"/>
      <c r="DM75" s="925"/>
      <c r="DN75" s="925"/>
      <c r="DO75" s="925"/>
      <c r="DP75" s="925"/>
      <c r="DQ75" s="925"/>
      <c r="DR75" s="925"/>
      <c r="DS75" s="925"/>
      <c r="DT75" s="925"/>
      <c r="DU75" s="925"/>
      <c r="DV75" s="925"/>
      <c r="DW75" s="925"/>
      <c r="DX75" s="925"/>
      <c r="DY75" s="925"/>
      <c r="DZ75" s="925"/>
      <c r="EA75" s="925"/>
      <c r="EB75" s="925"/>
      <c r="EC75" s="925"/>
      <c r="ED75" s="925"/>
      <c r="EE75" s="925"/>
      <c r="EF75" s="925"/>
      <c r="EG75" s="925"/>
      <c r="EH75" s="925"/>
      <c r="EI75" s="925"/>
      <c r="EJ75" s="925"/>
      <c r="EK75" s="925"/>
      <c r="EL75" s="925"/>
      <c r="EM75" s="925"/>
      <c r="EN75" s="925"/>
      <c r="EO75" s="925"/>
      <c r="EP75" s="925"/>
      <c r="EQ75" s="925"/>
      <c r="ER75" s="925"/>
      <c r="ES75" s="925"/>
      <c r="ET75" s="925"/>
      <c r="EU75" s="925"/>
      <c r="EV75" s="925"/>
      <c r="EW75" s="925"/>
      <c r="EX75" s="925"/>
      <c r="EY75" s="925"/>
      <c r="EZ75" s="925"/>
      <c r="FA75" s="925"/>
      <c r="FB75" s="925"/>
      <c r="FC75" s="925"/>
      <c r="FD75" s="925"/>
      <c r="FE75" s="925"/>
      <c r="FF75" s="925"/>
      <c r="FG75" s="925"/>
      <c r="FH75" s="925"/>
      <c r="FI75" s="925"/>
      <c r="FJ75" s="925"/>
      <c r="FK75" s="925"/>
      <c r="FL75" s="925"/>
      <c r="FM75" s="925"/>
      <c r="FN75" s="925"/>
      <c r="FO75" s="925"/>
      <c r="FP75" s="925"/>
      <c r="FQ75" s="925"/>
      <c r="FR75" s="925"/>
      <c r="FS75" s="925"/>
      <c r="FT75" s="925"/>
      <c r="FU75" s="925"/>
      <c r="FV75" s="925"/>
      <c r="FW75" s="925"/>
      <c r="FX75" s="925"/>
      <c r="FY75" s="925"/>
      <c r="FZ75" s="925"/>
      <c r="GA75" s="925"/>
      <c r="GB75" s="925"/>
      <c r="GC75" s="925"/>
      <c r="GD75" s="925"/>
      <c r="GE75" s="925"/>
      <c r="GF75" s="925"/>
      <c r="GG75" s="925"/>
      <c r="GH75" s="925"/>
      <c r="GI75" s="925"/>
      <c r="GJ75" s="925"/>
      <c r="GK75" s="925"/>
      <c r="GL75" s="925"/>
      <c r="GM75" s="925"/>
      <c r="GN75" s="925"/>
      <c r="GO75" s="925"/>
      <c r="GP75" s="925"/>
      <c r="GQ75" s="925"/>
      <c r="GR75" s="925"/>
      <c r="GS75" s="925"/>
      <c r="GT75" s="925"/>
      <c r="GU75" s="925"/>
      <c r="GV75" s="925"/>
      <c r="GW75" s="925"/>
      <c r="GX75" s="925"/>
      <c r="GY75" s="925"/>
      <c r="GZ75" s="925"/>
      <c r="HA75" s="925"/>
      <c r="HB75" s="925"/>
      <c r="HC75" s="925"/>
      <c r="HD75" s="925"/>
      <c r="HE75" s="925"/>
      <c r="HF75" s="925"/>
      <c r="HG75" s="925"/>
      <c r="HH75" s="925"/>
      <c r="HI75" s="925"/>
      <c r="HJ75" s="925"/>
      <c r="HK75" s="925"/>
      <c r="HL75" s="925"/>
      <c r="HM75" s="925"/>
      <c r="HN75" s="925"/>
      <c r="HO75" s="925"/>
      <c r="HP75" s="925"/>
      <c r="HQ75" s="925"/>
      <c r="HR75" s="925"/>
      <c r="HS75" s="925"/>
      <c r="HT75" s="925"/>
      <c r="HU75" s="925"/>
      <c r="HV75" s="925"/>
      <c r="HW75" s="925"/>
      <c r="HX75" s="925"/>
      <c r="HY75" s="925"/>
      <c r="HZ75" s="925"/>
      <c r="IA75" s="925"/>
      <c r="IB75" s="925"/>
      <c r="IC75" s="925"/>
      <c r="ID75" s="925"/>
      <c r="IE75" s="925"/>
      <c r="IF75" s="925"/>
      <c r="IG75" s="925"/>
      <c r="IH75" s="925"/>
      <c r="II75" s="925"/>
      <c r="IJ75" s="925"/>
      <c r="IK75" s="925"/>
      <c r="IL75" s="925"/>
      <c r="IM75" s="925"/>
      <c r="IN75" s="925"/>
      <c r="IO75" s="925"/>
      <c r="IP75" s="925"/>
      <c r="IQ75" s="925"/>
      <c r="IR75" s="925"/>
      <c r="IS75" s="925"/>
      <c r="IT75" s="925"/>
      <c r="IU75" s="925"/>
      <c r="IV75" s="331"/>
    </row>
  </sheetData>
  <mergeCells count="72">
    <mergeCell ref="A1:C1"/>
    <mergeCell ref="D1:H1"/>
    <mergeCell ref="D2:H2"/>
    <mergeCell ref="E3:G3"/>
    <mergeCell ref="D48:H48"/>
    <mergeCell ref="D49:H49"/>
    <mergeCell ref="D56:H56"/>
    <mergeCell ref="D65:H65"/>
    <mergeCell ref="D66:H66"/>
    <mergeCell ref="D3:D4"/>
    <mergeCell ref="D5:D8"/>
    <mergeCell ref="D9:D10"/>
    <mergeCell ref="D11:D12"/>
    <mergeCell ref="D13:D15"/>
    <mergeCell ref="D16:D19"/>
    <mergeCell ref="D20:D22"/>
    <mergeCell ref="D23:D25"/>
    <mergeCell ref="D26:D29"/>
    <mergeCell ref="D37:D42"/>
    <mergeCell ref="E5:E8"/>
    <mergeCell ref="E9:E10"/>
    <mergeCell ref="E11:E12"/>
    <mergeCell ref="E13:E15"/>
    <mergeCell ref="E16:E19"/>
    <mergeCell ref="E20:E22"/>
    <mergeCell ref="E23:E25"/>
    <mergeCell ref="E26:E29"/>
    <mergeCell ref="E37:E38"/>
    <mergeCell ref="E39:E40"/>
    <mergeCell ref="E41:E42"/>
    <mergeCell ref="F5:F8"/>
    <mergeCell ref="F9:F10"/>
    <mergeCell ref="F11:F12"/>
    <mergeCell ref="F13:F15"/>
    <mergeCell ref="F16:F19"/>
    <mergeCell ref="F20:F22"/>
    <mergeCell ref="F23:F25"/>
    <mergeCell ref="F26:F29"/>
    <mergeCell ref="G5:G8"/>
    <mergeCell ref="G9:G10"/>
    <mergeCell ref="G11:G12"/>
    <mergeCell ref="G13:G15"/>
    <mergeCell ref="G16:G19"/>
    <mergeCell ref="G20:G22"/>
    <mergeCell ref="G23:G25"/>
    <mergeCell ref="G26:G29"/>
    <mergeCell ref="H3:H4"/>
    <mergeCell ref="H5:H8"/>
    <mergeCell ref="H9:H10"/>
    <mergeCell ref="H11:H12"/>
    <mergeCell ref="H13:H15"/>
    <mergeCell ref="H16:H19"/>
    <mergeCell ref="H20:H22"/>
    <mergeCell ref="H23:H25"/>
    <mergeCell ref="H26:H29"/>
    <mergeCell ref="D30:E31"/>
    <mergeCell ref="F30:H31"/>
    <mergeCell ref="D32:E36"/>
    <mergeCell ref="F32:H36"/>
    <mergeCell ref="F37:H38"/>
    <mergeCell ref="F39:H40"/>
    <mergeCell ref="F41:H42"/>
    <mergeCell ref="A43:C45"/>
    <mergeCell ref="D43:H45"/>
    <mergeCell ref="D46:H47"/>
    <mergeCell ref="D50:H52"/>
    <mergeCell ref="D53:H55"/>
    <mergeCell ref="D57:H58"/>
    <mergeCell ref="D59:H60"/>
    <mergeCell ref="D61:H62"/>
    <mergeCell ref="D63:E64"/>
    <mergeCell ref="F63:H64"/>
  </mergeCells>
  <printOptions horizontalCentered="1"/>
  <pageMargins left="0.349305555555556" right="0.349305555555556" top="0.788888888888889" bottom="0.788888888888889" header="0.509027777777778" footer="0.509027777777778"/>
  <pageSetup paperSize="256" orientation="portrait"/>
  <headerFooter alignWithMargins="0" scaleWithDoc="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M30"/>
  <sheetViews>
    <sheetView showGridLines="0" zoomScale="90" zoomScaleNormal="90" workbookViewId="0">
      <selection activeCell="A1" sqref="A1:M1"/>
    </sheetView>
  </sheetViews>
  <sheetFormatPr defaultColWidth="8" defaultRowHeight="16.5"/>
  <cols>
    <col min="1" max="1" width="32.625" style="908" customWidth="1"/>
    <col min="2" max="6" width="9.125" style="908" customWidth="1"/>
    <col min="7" max="7" width="12.5" style="908" customWidth="1"/>
    <col min="8" max="12" width="9.125" style="908" customWidth="1"/>
    <col min="13" max="13" width="12.5" style="908" customWidth="1"/>
    <col min="14" max="16384" width="8" style="908"/>
  </cols>
  <sheetData>
    <row r="1" ht="29.25" spans="1:13">
      <c r="A1" s="909" t="s">
        <v>407</v>
      </c>
      <c r="B1" s="909"/>
      <c r="C1" s="909"/>
      <c r="D1" s="909"/>
      <c r="E1" s="909"/>
      <c r="F1" s="909"/>
      <c r="G1" s="909"/>
      <c r="H1" s="909"/>
      <c r="I1" s="909"/>
      <c r="J1" s="909"/>
      <c r="K1" s="909"/>
      <c r="L1" s="909"/>
      <c r="M1" s="909"/>
    </row>
    <row r="2" spans="1:13">
      <c r="A2" s="910"/>
      <c r="B2" s="911"/>
      <c r="C2" s="912" t="s">
        <v>408</v>
      </c>
      <c r="D2" s="912"/>
      <c r="E2" s="912"/>
      <c r="F2" s="912"/>
      <c r="G2" s="912"/>
      <c r="H2" s="911"/>
      <c r="I2" s="911"/>
      <c r="J2" s="911"/>
      <c r="K2" s="911"/>
      <c r="L2" s="921" t="s">
        <v>198</v>
      </c>
      <c r="M2" s="921"/>
    </row>
    <row r="3" ht="15.95" customHeight="1" spans="1:13">
      <c r="A3" s="913" t="s">
        <v>409</v>
      </c>
      <c r="B3" s="913" t="s">
        <v>169</v>
      </c>
      <c r="C3" s="913"/>
      <c r="D3" s="913"/>
      <c r="E3" s="913"/>
      <c r="F3" s="913"/>
      <c r="G3" s="913"/>
      <c r="H3" s="913" t="s">
        <v>170</v>
      </c>
      <c r="I3" s="913"/>
      <c r="J3" s="913"/>
      <c r="K3" s="913"/>
      <c r="L3" s="913"/>
      <c r="M3" s="913"/>
    </row>
    <row r="4" ht="32.1" customHeight="1" spans="1:13">
      <c r="A4" s="913"/>
      <c r="B4" s="914" t="s">
        <v>410</v>
      </c>
      <c r="C4" s="914" t="s">
        <v>150</v>
      </c>
      <c r="D4" s="914" t="s">
        <v>152</v>
      </c>
      <c r="E4" s="914" t="s">
        <v>154</v>
      </c>
      <c r="F4" s="914" t="s">
        <v>156</v>
      </c>
      <c r="G4" s="914" t="s">
        <v>158</v>
      </c>
      <c r="H4" s="914" t="s">
        <v>410</v>
      </c>
      <c r="I4" s="914" t="s">
        <v>150</v>
      </c>
      <c r="J4" s="914" t="s">
        <v>152</v>
      </c>
      <c r="K4" s="914" t="s">
        <v>154</v>
      </c>
      <c r="L4" s="914" t="s">
        <v>156</v>
      </c>
      <c r="M4" s="914" t="s">
        <v>158</v>
      </c>
    </row>
    <row r="5" ht="15.95" customHeight="1" spans="1:13">
      <c r="A5" s="915" t="s">
        <v>411</v>
      </c>
      <c r="B5" s="916">
        <f t="shared" ref="B5:F5" si="0">H30</f>
        <v>0</v>
      </c>
      <c r="C5" s="916">
        <f t="shared" si="0"/>
        <v>0</v>
      </c>
      <c r="D5" s="916">
        <f t="shared" si="0"/>
        <v>0</v>
      </c>
      <c r="E5" s="916">
        <f t="shared" si="0"/>
        <v>0</v>
      </c>
      <c r="F5" s="916">
        <f t="shared" si="0"/>
        <v>0</v>
      </c>
      <c r="G5" s="916">
        <f t="shared" ref="G5:G30" si="1">SUM(B5:F5)</f>
        <v>0</v>
      </c>
      <c r="H5" s="917"/>
      <c r="I5" s="917"/>
      <c r="J5" s="917"/>
      <c r="K5" s="917"/>
      <c r="L5" s="917"/>
      <c r="M5" s="916">
        <f t="shared" ref="M5:M30" si="2">SUM(H5:L5)</f>
        <v>0</v>
      </c>
    </row>
    <row r="6" ht="15.95" customHeight="1" spans="1:13">
      <c r="A6" s="915" t="s">
        <v>412</v>
      </c>
      <c r="B6" s="918"/>
      <c r="C6" s="918"/>
      <c r="D6" s="918"/>
      <c r="E6" s="918"/>
      <c r="F6" s="918"/>
      <c r="G6" s="916">
        <f t="shared" si="1"/>
        <v>0</v>
      </c>
      <c r="H6" s="917"/>
      <c r="I6" s="917"/>
      <c r="J6" s="917"/>
      <c r="K6" s="917"/>
      <c r="L6" s="917"/>
      <c r="M6" s="916">
        <f t="shared" si="2"/>
        <v>0</v>
      </c>
    </row>
    <row r="7" ht="15.95" customHeight="1" spans="1:13">
      <c r="A7" s="915" t="s">
        <v>413</v>
      </c>
      <c r="B7" s="918"/>
      <c r="C7" s="918"/>
      <c r="D7" s="918"/>
      <c r="E7" s="918"/>
      <c r="F7" s="918"/>
      <c r="G7" s="916">
        <f t="shared" si="1"/>
        <v>0</v>
      </c>
      <c r="H7" s="917"/>
      <c r="I7" s="917"/>
      <c r="J7" s="917"/>
      <c r="K7" s="917"/>
      <c r="L7" s="917"/>
      <c r="M7" s="916">
        <f t="shared" si="2"/>
        <v>0</v>
      </c>
    </row>
    <row r="8" ht="15.95" customHeight="1" spans="1:13">
      <c r="A8" s="919" t="s">
        <v>414</v>
      </c>
      <c r="B8" s="920">
        <f>资产负债表!F30</f>
        <v>333333</v>
      </c>
      <c r="C8" s="920">
        <f>资产负债表!F31</f>
        <v>0</v>
      </c>
      <c r="D8" s="920">
        <f>资产负债表!F32</f>
        <v>0</v>
      </c>
      <c r="E8" s="920">
        <f>资产负债表!F33</f>
        <v>0</v>
      </c>
      <c r="F8" s="920">
        <f>资产负债表!F34</f>
        <v>0</v>
      </c>
      <c r="G8" s="920">
        <f t="shared" si="1"/>
        <v>333333</v>
      </c>
      <c r="H8" s="920">
        <f t="shared" ref="H8:L8" si="3">H5+H6+H7</f>
        <v>0</v>
      </c>
      <c r="I8" s="920">
        <f t="shared" si="3"/>
        <v>0</v>
      </c>
      <c r="J8" s="920">
        <f t="shared" si="3"/>
        <v>0</v>
      </c>
      <c r="K8" s="920">
        <f t="shared" si="3"/>
        <v>0</v>
      </c>
      <c r="L8" s="920">
        <f t="shared" si="3"/>
        <v>0</v>
      </c>
      <c r="M8" s="920">
        <f t="shared" si="2"/>
        <v>0</v>
      </c>
    </row>
    <row r="9" ht="15.95" customHeight="1" spans="1:13">
      <c r="A9" s="915" t="s">
        <v>415</v>
      </c>
      <c r="B9" s="916">
        <f t="shared" ref="B9:F9" si="4">B16+B17+B21+B25</f>
        <v>0</v>
      </c>
      <c r="C9" s="916">
        <f t="shared" si="4"/>
        <v>0</v>
      </c>
      <c r="D9" s="916">
        <f t="shared" si="4"/>
        <v>0</v>
      </c>
      <c r="E9" s="916">
        <f t="shared" si="4"/>
        <v>0</v>
      </c>
      <c r="F9" s="916">
        <f t="shared" si="4"/>
        <v>0</v>
      </c>
      <c r="G9" s="916">
        <f t="shared" si="1"/>
        <v>0</v>
      </c>
      <c r="H9" s="916">
        <f t="shared" ref="H9:L9" si="5">H16+H17+H21+H25</f>
        <v>0</v>
      </c>
      <c r="I9" s="916">
        <f t="shared" si="5"/>
        <v>0</v>
      </c>
      <c r="J9" s="916">
        <f t="shared" si="5"/>
        <v>0</v>
      </c>
      <c r="K9" s="916">
        <f t="shared" si="5"/>
        <v>0</v>
      </c>
      <c r="L9" s="916">
        <f t="shared" si="5"/>
        <v>0</v>
      </c>
      <c r="M9" s="916">
        <f t="shared" si="2"/>
        <v>0</v>
      </c>
    </row>
    <row r="10" ht="15.95" customHeight="1" spans="1:13">
      <c r="A10" s="915" t="s">
        <v>416</v>
      </c>
      <c r="B10" s="918"/>
      <c r="C10" s="918"/>
      <c r="D10" s="918"/>
      <c r="E10" s="918"/>
      <c r="F10" s="916">
        <f>利润表!B22</f>
        <v>0</v>
      </c>
      <c r="G10" s="916">
        <f t="shared" si="1"/>
        <v>0</v>
      </c>
      <c r="H10" s="917"/>
      <c r="I10" s="917"/>
      <c r="J10" s="917"/>
      <c r="K10" s="917"/>
      <c r="L10" s="922">
        <f>利润表!C22</f>
        <v>0</v>
      </c>
      <c r="M10" s="916">
        <f t="shared" si="2"/>
        <v>0</v>
      </c>
    </row>
    <row r="11" ht="15.95" customHeight="1" spans="1:13">
      <c r="A11" s="915" t="s">
        <v>417</v>
      </c>
      <c r="B11" s="916">
        <f t="shared" ref="B11:F11" si="6">B12+B13+B14+B15</f>
        <v>0</v>
      </c>
      <c r="C11" s="916">
        <f t="shared" si="6"/>
        <v>0</v>
      </c>
      <c r="D11" s="916">
        <f t="shared" si="6"/>
        <v>0</v>
      </c>
      <c r="E11" s="916">
        <f t="shared" si="6"/>
        <v>0</v>
      </c>
      <c r="F11" s="916">
        <f t="shared" si="6"/>
        <v>0</v>
      </c>
      <c r="G11" s="916">
        <f t="shared" si="1"/>
        <v>0</v>
      </c>
      <c r="H11" s="916">
        <f t="shared" ref="H11:L11" si="7">H12+H13+H14+H15</f>
        <v>0</v>
      </c>
      <c r="I11" s="916">
        <f t="shared" si="7"/>
        <v>0</v>
      </c>
      <c r="J11" s="916">
        <f t="shared" si="7"/>
        <v>0</v>
      </c>
      <c r="K11" s="916">
        <f t="shared" si="7"/>
        <v>0</v>
      </c>
      <c r="L11" s="916">
        <f t="shared" si="7"/>
        <v>0</v>
      </c>
      <c r="M11" s="916">
        <f t="shared" si="2"/>
        <v>0</v>
      </c>
    </row>
    <row r="12" ht="15.95" customHeight="1" spans="1:13">
      <c r="A12" s="915" t="s">
        <v>418</v>
      </c>
      <c r="B12" s="918"/>
      <c r="C12" s="918"/>
      <c r="D12" s="918"/>
      <c r="E12" s="918"/>
      <c r="F12" s="918"/>
      <c r="G12" s="916">
        <f t="shared" si="1"/>
        <v>0</v>
      </c>
      <c r="H12" s="917"/>
      <c r="I12" s="917"/>
      <c r="J12" s="917"/>
      <c r="K12" s="917"/>
      <c r="L12" s="918"/>
      <c r="M12" s="916">
        <f t="shared" si="2"/>
        <v>0</v>
      </c>
    </row>
    <row r="13" ht="32.1" customHeight="1" spans="1:13">
      <c r="A13" s="915" t="s">
        <v>419</v>
      </c>
      <c r="B13" s="918"/>
      <c r="C13" s="918"/>
      <c r="D13" s="918"/>
      <c r="E13" s="918"/>
      <c r="F13" s="918"/>
      <c r="G13" s="916">
        <f t="shared" si="1"/>
        <v>0</v>
      </c>
      <c r="H13" s="917"/>
      <c r="I13" s="917"/>
      <c r="J13" s="917"/>
      <c r="K13" s="917"/>
      <c r="L13" s="917"/>
      <c r="M13" s="916">
        <f t="shared" si="2"/>
        <v>0</v>
      </c>
    </row>
    <row r="14" ht="15.95" customHeight="1" spans="1:13">
      <c r="A14" s="915" t="s">
        <v>420</v>
      </c>
      <c r="B14" s="918"/>
      <c r="C14" s="918"/>
      <c r="D14" s="918"/>
      <c r="E14" s="918"/>
      <c r="F14" s="918"/>
      <c r="G14" s="916">
        <f t="shared" si="1"/>
        <v>0</v>
      </c>
      <c r="H14" s="917"/>
      <c r="I14" s="917"/>
      <c r="J14" s="917"/>
      <c r="K14" s="917"/>
      <c r="L14" s="917"/>
      <c r="M14" s="916">
        <f t="shared" si="2"/>
        <v>0</v>
      </c>
    </row>
    <row r="15" ht="15.95" customHeight="1" spans="1:13">
      <c r="A15" s="915" t="s">
        <v>421</v>
      </c>
      <c r="B15" s="918"/>
      <c r="C15" s="918"/>
      <c r="D15" s="918"/>
      <c r="E15" s="918"/>
      <c r="F15" s="918"/>
      <c r="G15" s="916">
        <f t="shared" si="1"/>
        <v>0</v>
      </c>
      <c r="H15" s="917"/>
      <c r="I15" s="917"/>
      <c r="J15" s="917"/>
      <c r="K15" s="917"/>
      <c r="L15" s="917"/>
      <c r="M15" s="916">
        <f t="shared" si="2"/>
        <v>0</v>
      </c>
    </row>
    <row r="16" ht="15.95" customHeight="1" spans="1:13">
      <c r="A16" s="915" t="s">
        <v>422</v>
      </c>
      <c r="B16" s="916">
        <f t="shared" ref="B16:F16" si="8">B10+B11</f>
        <v>0</v>
      </c>
      <c r="C16" s="916">
        <f t="shared" si="8"/>
        <v>0</v>
      </c>
      <c r="D16" s="916">
        <f t="shared" si="8"/>
        <v>0</v>
      </c>
      <c r="E16" s="916">
        <f t="shared" si="8"/>
        <v>0</v>
      </c>
      <c r="F16" s="916">
        <f t="shared" si="8"/>
        <v>0</v>
      </c>
      <c r="G16" s="916">
        <f t="shared" si="1"/>
        <v>0</v>
      </c>
      <c r="H16" s="916">
        <f t="shared" ref="H16:L16" si="9">H10+H11</f>
        <v>0</v>
      </c>
      <c r="I16" s="916">
        <f t="shared" si="9"/>
        <v>0</v>
      </c>
      <c r="J16" s="916">
        <f t="shared" si="9"/>
        <v>0</v>
      </c>
      <c r="K16" s="916">
        <f t="shared" si="9"/>
        <v>0</v>
      </c>
      <c r="L16" s="916">
        <f t="shared" si="9"/>
        <v>0</v>
      </c>
      <c r="M16" s="916">
        <f t="shared" si="2"/>
        <v>0</v>
      </c>
    </row>
    <row r="17" ht="15.95" customHeight="1" spans="1:13">
      <c r="A17" s="915" t="s">
        <v>423</v>
      </c>
      <c r="B17" s="916">
        <f t="shared" ref="B17:F17" si="10">B18+B19+B20</f>
        <v>0</v>
      </c>
      <c r="C17" s="916">
        <f t="shared" si="10"/>
        <v>0</v>
      </c>
      <c r="D17" s="916">
        <f t="shared" si="10"/>
        <v>0</v>
      </c>
      <c r="E17" s="916">
        <f t="shared" si="10"/>
        <v>0</v>
      </c>
      <c r="F17" s="916">
        <f t="shared" si="10"/>
        <v>0</v>
      </c>
      <c r="G17" s="916">
        <f t="shared" si="1"/>
        <v>0</v>
      </c>
      <c r="H17" s="916">
        <f t="shared" ref="H17:L17" si="11">H18+H19+H20</f>
        <v>0</v>
      </c>
      <c r="I17" s="916">
        <f t="shared" si="11"/>
        <v>0</v>
      </c>
      <c r="J17" s="916">
        <f t="shared" si="11"/>
        <v>0</v>
      </c>
      <c r="K17" s="916">
        <f t="shared" si="11"/>
        <v>0</v>
      </c>
      <c r="L17" s="916">
        <f t="shared" si="11"/>
        <v>0</v>
      </c>
      <c r="M17" s="916">
        <f t="shared" si="2"/>
        <v>0</v>
      </c>
    </row>
    <row r="18" ht="15.95" customHeight="1" spans="1:13">
      <c r="A18" s="915" t="s">
        <v>424</v>
      </c>
      <c r="B18" s="918"/>
      <c r="C18" s="918"/>
      <c r="D18" s="918"/>
      <c r="E18" s="918"/>
      <c r="F18" s="918"/>
      <c r="G18" s="916">
        <f t="shared" si="1"/>
        <v>0</v>
      </c>
      <c r="H18" s="917"/>
      <c r="I18" s="917"/>
      <c r="J18" s="917"/>
      <c r="K18" s="917"/>
      <c r="L18" s="917"/>
      <c r="M18" s="916">
        <f t="shared" si="2"/>
        <v>0</v>
      </c>
    </row>
    <row r="19" ht="15.95" customHeight="1" spans="1:13">
      <c r="A19" s="915" t="s">
        <v>425</v>
      </c>
      <c r="B19" s="918"/>
      <c r="C19" s="918"/>
      <c r="D19" s="918"/>
      <c r="E19" s="918"/>
      <c r="F19" s="918"/>
      <c r="G19" s="916">
        <f t="shared" si="1"/>
        <v>0</v>
      </c>
      <c r="H19" s="917"/>
      <c r="I19" s="917"/>
      <c r="J19" s="917"/>
      <c r="K19" s="917"/>
      <c r="L19" s="917"/>
      <c r="M19" s="916">
        <f t="shared" si="2"/>
        <v>0</v>
      </c>
    </row>
    <row r="20" ht="15.95" customHeight="1" spans="1:13">
      <c r="A20" s="915" t="s">
        <v>426</v>
      </c>
      <c r="B20" s="918"/>
      <c r="C20" s="918"/>
      <c r="D20" s="918"/>
      <c r="E20" s="918"/>
      <c r="F20" s="918"/>
      <c r="G20" s="916">
        <f t="shared" si="1"/>
        <v>0</v>
      </c>
      <c r="H20" s="917"/>
      <c r="I20" s="917"/>
      <c r="J20" s="917"/>
      <c r="K20" s="917"/>
      <c r="L20" s="917"/>
      <c r="M20" s="916">
        <f t="shared" si="2"/>
        <v>0</v>
      </c>
    </row>
    <row r="21" ht="15.95" customHeight="1" spans="1:13">
      <c r="A21" s="915" t="s">
        <v>427</v>
      </c>
      <c r="B21" s="916">
        <f t="shared" ref="B21:F21" si="12">B22+B23+B24</f>
        <v>0</v>
      </c>
      <c r="C21" s="916">
        <f t="shared" si="12"/>
        <v>0</v>
      </c>
      <c r="D21" s="916">
        <f t="shared" si="12"/>
        <v>0</v>
      </c>
      <c r="E21" s="916">
        <f t="shared" si="12"/>
        <v>0</v>
      </c>
      <c r="F21" s="916">
        <f t="shared" si="12"/>
        <v>0</v>
      </c>
      <c r="G21" s="916">
        <f t="shared" si="1"/>
        <v>0</v>
      </c>
      <c r="H21" s="916">
        <f t="shared" ref="H21:L21" si="13">H22+H23+H24</f>
        <v>0</v>
      </c>
      <c r="I21" s="916">
        <f t="shared" si="13"/>
        <v>0</v>
      </c>
      <c r="J21" s="916">
        <f t="shared" si="13"/>
        <v>0</v>
      </c>
      <c r="K21" s="916">
        <f t="shared" si="13"/>
        <v>0</v>
      </c>
      <c r="L21" s="916">
        <f t="shared" si="13"/>
        <v>0</v>
      </c>
      <c r="M21" s="916">
        <f t="shared" si="2"/>
        <v>0</v>
      </c>
    </row>
    <row r="22" ht="15.95" customHeight="1" spans="1:13">
      <c r="A22" s="915" t="s">
        <v>428</v>
      </c>
      <c r="B22" s="918"/>
      <c r="C22" s="918"/>
      <c r="D22" s="918"/>
      <c r="E22" s="918"/>
      <c r="F22" s="918"/>
      <c r="G22" s="916">
        <f t="shared" si="1"/>
        <v>0</v>
      </c>
      <c r="H22" s="917"/>
      <c r="I22" s="917"/>
      <c r="J22" s="917"/>
      <c r="K22" s="917"/>
      <c r="L22" s="917"/>
      <c r="M22" s="916">
        <f t="shared" si="2"/>
        <v>0</v>
      </c>
    </row>
    <row r="23" ht="15.95" customHeight="1" spans="1:13">
      <c r="A23" s="915" t="s">
        <v>429</v>
      </c>
      <c r="B23" s="918"/>
      <c r="C23" s="918"/>
      <c r="D23" s="918"/>
      <c r="E23" s="918"/>
      <c r="F23" s="918"/>
      <c r="G23" s="916">
        <f t="shared" si="1"/>
        <v>0</v>
      </c>
      <c r="H23" s="917"/>
      <c r="I23" s="917"/>
      <c r="J23" s="917"/>
      <c r="K23" s="917"/>
      <c r="L23" s="917"/>
      <c r="M23" s="916">
        <f t="shared" si="2"/>
        <v>0</v>
      </c>
    </row>
    <row r="24" ht="15.95" customHeight="1" spans="1:13">
      <c r="A24" s="915" t="s">
        <v>426</v>
      </c>
      <c r="B24" s="918"/>
      <c r="C24" s="918"/>
      <c r="D24" s="918"/>
      <c r="E24" s="918"/>
      <c r="F24" s="918"/>
      <c r="G24" s="916">
        <f t="shared" si="1"/>
        <v>0</v>
      </c>
      <c r="H24" s="917"/>
      <c r="I24" s="917"/>
      <c r="J24" s="917"/>
      <c r="K24" s="917"/>
      <c r="L24" s="917"/>
      <c r="M24" s="916">
        <f t="shared" si="2"/>
        <v>0</v>
      </c>
    </row>
    <row r="25" ht="15.95" customHeight="1" spans="1:13">
      <c r="A25" s="915" t="s">
        <v>430</v>
      </c>
      <c r="B25" s="916">
        <f t="shared" ref="B25:F25" si="14">B26+B27+B28+B29</f>
        <v>0</v>
      </c>
      <c r="C25" s="916">
        <f t="shared" si="14"/>
        <v>0</v>
      </c>
      <c r="D25" s="916">
        <f t="shared" si="14"/>
        <v>0</v>
      </c>
      <c r="E25" s="916">
        <f t="shared" si="14"/>
        <v>0</v>
      </c>
      <c r="F25" s="916">
        <f t="shared" si="14"/>
        <v>0</v>
      </c>
      <c r="G25" s="916">
        <f t="shared" si="1"/>
        <v>0</v>
      </c>
      <c r="H25" s="916">
        <f t="shared" ref="H25:L25" si="15">H26+H27+H28+H29</f>
        <v>0</v>
      </c>
      <c r="I25" s="916">
        <f t="shared" si="15"/>
        <v>0</v>
      </c>
      <c r="J25" s="916">
        <f t="shared" si="15"/>
        <v>0</v>
      </c>
      <c r="K25" s="916">
        <f t="shared" si="15"/>
        <v>0</v>
      </c>
      <c r="L25" s="916">
        <f t="shared" si="15"/>
        <v>0</v>
      </c>
      <c r="M25" s="916">
        <f t="shared" si="2"/>
        <v>0</v>
      </c>
    </row>
    <row r="26" ht="15.95" customHeight="1" spans="1:13">
      <c r="A26" s="915" t="s">
        <v>431</v>
      </c>
      <c r="B26" s="918"/>
      <c r="C26" s="918"/>
      <c r="D26" s="918"/>
      <c r="E26" s="918"/>
      <c r="F26" s="918"/>
      <c r="G26" s="916">
        <f t="shared" si="1"/>
        <v>0</v>
      </c>
      <c r="H26" s="917"/>
      <c r="I26" s="917"/>
      <c r="J26" s="917"/>
      <c r="K26" s="917"/>
      <c r="L26" s="917"/>
      <c r="M26" s="916">
        <f t="shared" si="2"/>
        <v>0</v>
      </c>
    </row>
    <row r="27" ht="15.95" customHeight="1" spans="1:13">
      <c r="A27" s="915" t="s">
        <v>432</v>
      </c>
      <c r="B27" s="918"/>
      <c r="C27" s="918"/>
      <c r="D27" s="918"/>
      <c r="E27" s="918"/>
      <c r="F27" s="918"/>
      <c r="G27" s="916">
        <f t="shared" si="1"/>
        <v>0</v>
      </c>
      <c r="H27" s="917"/>
      <c r="I27" s="917"/>
      <c r="J27" s="917"/>
      <c r="K27" s="917"/>
      <c r="L27" s="917"/>
      <c r="M27" s="916">
        <f t="shared" si="2"/>
        <v>0</v>
      </c>
    </row>
    <row r="28" ht="15.95" customHeight="1" spans="1:13">
      <c r="A28" s="915" t="s">
        <v>433</v>
      </c>
      <c r="B28" s="918"/>
      <c r="C28" s="918"/>
      <c r="D28" s="918"/>
      <c r="E28" s="918"/>
      <c r="F28" s="918"/>
      <c r="G28" s="916">
        <f t="shared" si="1"/>
        <v>0</v>
      </c>
      <c r="H28" s="917"/>
      <c r="I28" s="917"/>
      <c r="J28" s="917"/>
      <c r="K28" s="917"/>
      <c r="L28" s="917"/>
      <c r="M28" s="916">
        <f t="shared" si="2"/>
        <v>0</v>
      </c>
    </row>
    <row r="29" ht="15.95" customHeight="1" spans="1:13">
      <c r="A29" s="915" t="s">
        <v>421</v>
      </c>
      <c r="B29" s="918"/>
      <c r="C29" s="918"/>
      <c r="D29" s="918"/>
      <c r="E29" s="918"/>
      <c r="F29" s="918"/>
      <c r="G29" s="916">
        <f t="shared" si="1"/>
        <v>0</v>
      </c>
      <c r="H29" s="917"/>
      <c r="I29" s="917"/>
      <c r="J29" s="917"/>
      <c r="K29" s="917"/>
      <c r="L29" s="917"/>
      <c r="M29" s="916">
        <f t="shared" si="2"/>
        <v>0</v>
      </c>
    </row>
    <row r="30" ht="15.95" customHeight="1" spans="1:13">
      <c r="A30" s="919" t="s">
        <v>434</v>
      </c>
      <c r="B30" s="920">
        <f t="shared" ref="B30:F30" si="16">B8+B9</f>
        <v>333333</v>
      </c>
      <c r="C30" s="920">
        <f t="shared" si="16"/>
        <v>0</v>
      </c>
      <c r="D30" s="920">
        <f t="shared" si="16"/>
        <v>0</v>
      </c>
      <c r="E30" s="920">
        <f t="shared" si="16"/>
        <v>0</v>
      </c>
      <c r="F30" s="920">
        <f t="shared" si="16"/>
        <v>0</v>
      </c>
      <c r="G30" s="920">
        <f t="shared" si="1"/>
        <v>333333</v>
      </c>
      <c r="H30" s="920">
        <f t="shared" ref="H30:L30" si="17">H8+H9</f>
        <v>0</v>
      </c>
      <c r="I30" s="920">
        <f t="shared" si="17"/>
        <v>0</v>
      </c>
      <c r="J30" s="920">
        <f t="shared" si="17"/>
        <v>0</v>
      </c>
      <c r="K30" s="920">
        <f t="shared" si="17"/>
        <v>0</v>
      </c>
      <c r="L30" s="920">
        <f t="shared" si="17"/>
        <v>0</v>
      </c>
      <c r="M30" s="920">
        <f t="shared" si="2"/>
        <v>0</v>
      </c>
    </row>
  </sheetData>
  <mergeCells count="6">
    <mergeCell ref="A1:M1"/>
    <mergeCell ref="C2:G2"/>
    <mergeCell ref="L2:M2"/>
    <mergeCell ref="B3:G3"/>
    <mergeCell ref="H3:M3"/>
    <mergeCell ref="A3:A4"/>
  </mergeCells>
  <printOptions horizontalCentered="1"/>
  <pageMargins left="0.349305555555556" right="0.349305555555556" top="0.588888888888889" bottom="0.588888888888889" header="0.509027777777778" footer="0.509027777777778"/>
  <pageSetup paperSize="256" scale="90" orientation="landscape"/>
  <headerFooter alignWithMargins="0" scaleWithDoc="0"/>
  <drawing r:id="rId1"/>
</worksheet>
</file>

<file path=docProps/app.xml><?xml version="1.0" encoding="utf-8"?>
<Properties xmlns="http://schemas.openxmlformats.org/officeDocument/2006/extended-properties" xmlns:vt="http://schemas.openxmlformats.org/officeDocument/2006/docPropsVTypes">
  <Company>DMS</Company>
  <Application>Microsoft Excel</Application>
  <HeadingPairs>
    <vt:vector size="2" baseType="variant">
      <vt:variant>
        <vt:lpstr>工作表</vt:lpstr>
      </vt:variant>
      <vt:variant>
        <vt:i4>56</vt:i4>
      </vt:variant>
    </vt:vector>
  </HeadingPairs>
  <TitlesOfParts>
    <vt:vector size="56" baseType="lpstr">
      <vt:lpstr>封面</vt:lpstr>
      <vt:lpstr>目录</vt:lpstr>
      <vt:lpstr>资产负债表</vt:lpstr>
      <vt:lpstr>结构比</vt:lpstr>
      <vt:lpstr>利润表</vt:lpstr>
      <vt:lpstr>资产负债表分析</vt:lpstr>
      <vt:lpstr>表外数据录入</vt:lpstr>
      <vt:lpstr>现金流量表</vt:lpstr>
      <vt:lpstr>所有者权益变动表</vt:lpstr>
      <vt:lpstr>财务比率分析</vt:lpstr>
      <vt:lpstr>税负监控</vt:lpstr>
      <vt:lpstr>老杜邦</vt:lpstr>
      <vt:lpstr>老杜邦率</vt:lpstr>
      <vt:lpstr>新杜邦</vt:lpstr>
      <vt:lpstr>收支对比</vt:lpstr>
      <vt:lpstr>收支分析</vt:lpstr>
      <vt:lpstr>财务预警</vt:lpstr>
      <vt:lpstr>管理用资负表</vt:lpstr>
      <vt:lpstr>管理用利润表</vt:lpstr>
      <vt:lpstr>管理用现流表</vt:lpstr>
      <vt:lpstr>管理比率</vt:lpstr>
      <vt:lpstr>预测负债表</vt:lpstr>
      <vt:lpstr>预测利润表</vt:lpstr>
      <vt:lpstr>行业绩效标准</vt:lpstr>
      <vt:lpstr>贷款额度</vt:lpstr>
      <vt:lpstr>投资决策</vt:lpstr>
      <vt:lpstr>更新决策</vt:lpstr>
      <vt:lpstr>财务计划</vt:lpstr>
      <vt:lpstr>EOQ模型</vt:lpstr>
      <vt:lpstr>租赁模型</vt:lpstr>
      <vt:lpstr>按揭模型</vt:lpstr>
      <vt:lpstr>敏感分析</vt:lpstr>
      <vt:lpstr>租赁筹资基本模型</vt:lpstr>
      <vt:lpstr>按揭测算模型</vt:lpstr>
      <vt:lpstr>利润敏感性分析模型</vt:lpstr>
      <vt:lpstr>企业安全率模型</vt:lpstr>
      <vt:lpstr>2019年新版个税计算器</vt:lpstr>
      <vt:lpstr>时间序列预测分析</vt:lpstr>
      <vt:lpstr>现金预算</vt:lpstr>
      <vt:lpstr>应收账款账龄分析表</vt:lpstr>
      <vt:lpstr>战略计划矩阵</vt:lpstr>
      <vt:lpstr>自制和外购决策</vt:lpstr>
      <vt:lpstr>企业价值评估</vt:lpstr>
      <vt:lpstr>比重绩效评分模型</vt:lpstr>
      <vt:lpstr>总生产成本分析表</vt:lpstr>
      <vt:lpstr>总生产成本年度比较表</vt:lpstr>
      <vt:lpstr>生产成本汇总表</vt:lpstr>
      <vt:lpstr>A产品成本分析表</vt:lpstr>
      <vt:lpstr>B产品成本分析表</vt:lpstr>
      <vt:lpstr>C产品成本分析表</vt:lpstr>
      <vt:lpstr>D产品成本分析表</vt:lpstr>
      <vt:lpstr>E产品成本分析表</vt:lpstr>
      <vt:lpstr>F产品成本分析表</vt:lpstr>
      <vt:lpstr>G产品成本分析表</vt:lpstr>
      <vt:lpstr>其他产品成本表</vt:lpstr>
      <vt:lpstr>主要产品单位成本分析表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LJG</dc:creator>
  <cp:lastModifiedBy>WPS_1618564675</cp:lastModifiedBy>
  <cp:revision>1</cp:revision>
  <dcterms:created xsi:type="dcterms:W3CDTF">2011-04-28T16:33:00Z</dcterms:created>
  <cp:lastPrinted>2011-05-18T08:11:00Z</cp:lastPrinted>
  <dcterms:modified xsi:type="dcterms:W3CDTF">2023-01-15T08:55:59Z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2052-11.1.0.13703</vt:lpwstr>
  </property>
  <property fmtid="{D5CDD505-2E9C-101B-9397-08002B2CF9AE}" pid="3" name="ICV">
    <vt:lpwstr>484AA6CE76B84BAD8745D646ACDDD237</vt:lpwstr>
  </property>
</Properties>
</file>